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9.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0.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1.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hidePivotFieldList="1" defaultThemeVersion="124226"/>
  <mc:AlternateContent xmlns:mc="http://schemas.openxmlformats.org/markup-compatibility/2006">
    <mc:Choice Requires="x15">
      <x15ac:absPath xmlns:x15ac="http://schemas.microsoft.com/office/spreadsheetml/2010/11/ac" url="https://alloysint-my.sharepoint.com/personal/vishalg_alloys_com_au/Documents/0.) Reseller Kits/ALLOYS - Canon LFP Kit/Cost Calculator/"/>
    </mc:Choice>
  </mc:AlternateContent>
  <xr:revisionPtr revIDLastSave="52" documentId="8_{F95C1EC4-1930-460A-AC31-ACCAB03CEF39}" xr6:coauthVersionLast="47" xr6:coauthVersionMax="47" xr10:uidLastSave="{E3BB80D4-FB78-4962-88F8-83C6178DE6FE}"/>
  <workbookProtection workbookAlgorithmName="SHA-512" workbookHashValue="ntHJgztiXB9RCFsg65zlgjbpKI4LugYc5U0ZsUoQiThLMjvNpYZaLF70wRXuszdpdEewUaQdGC2SC+pYNbL9iQ==" workbookSaltValue="2DPwifd05/oB1XOOI3rm2w==" workbookSpinCount="100000" lockStructure="1"/>
  <bookViews>
    <workbookView xWindow="-120" yWindow="-120" windowWidth="29040" windowHeight="15840" tabRatio="836" activeTab="1" xr2:uid="{00000000-000D-0000-FFFF-FFFF00000000}"/>
  </bookViews>
  <sheets>
    <sheet name="Instructions" sheetId="9" r:id="rId1"/>
    <sheet name="iPF PRO- 12 Colour" sheetId="12" r:id="rId2"/>
    <sheet name="iPF PRO- 8 Colour" sheetId="14" r:id="rId3"/>
    <sheet name="GP200 &amp; GP300" sheetId="27" r:id="rId4"/>
    <sheet name="iPF6400S" sheetId="26" state="hidden" r:id="rId5"/>
    <sheet name="iPF8400SE" sheetId="23" state="hidden" r:id="rId6"/>
    <sheet name="iPF6400SE" sheetId="25" state="hidden" r:id="rId7"/>
    <sheet name="TX-Series" sheetId="16" r:id="rId8"/>
    <sheet name="TMx50-Series" sheetId="17" r:id="rId9"/>
    <sheet name="iPF510-610" sheetId="19" state="hidden" r:id="rId10"/>
    <sheet name="TMx40-series" sheetId="29" r:id="rId11"/>
    <sheet name="Back-End" sheetId="2" state="hidden" r:id="rId12"/>
  </sheets>
  <definedNames>
    <definedName name="_xlnm.Print_Area" localSheetId="3">'GP200 &amp; GP300'!$A$1:$H$30</definedName>
    <definedName name="_xlnm.Print_Area" localSheetId="0">Instructions!$A$1:$O$18</definedName>
    <definedName name="_xlnm.Print_Area" localSheetId="1">'iPF PRO- 12 Colour'!$A$1:$H$30</definedName>
    <definedName name="_xlnm.Print_Area" localSheetId="2">'iPF PRO- 8 Colour'!$A$1:$H$30</definedName>
    <definedName name="_xlnm.Print_Area" localSheetId="9">'iPF510-610'!$A$1:$H$30</definedName>
    <definedName name="_xlnm.Print_Area" localSheetId="4">iPF6400S!$A$1:$H$30</definedName>
    <definedName name="_xlnm.Print_Area" localSheetId="6">iPF6400SE!$A$1:$H$30</definedName>
    <definedName name="_xlnm.Print_Area" localSheetId="5">iPF8400SE!$A$1:$H$30</definedName>
    <definedName name="_xlnm.Print_Area" localSheetId="10">'TMx40-series'!$A$1:$H$30</definedName>
    <definedName name="_xlnm.Print_Area" localSheetId="8">'TMx50-Series'!$A$1:$H$30</definedName>
    <definedName name="_xlnm.Print_Area" localSheetId="7">'TX-Series'!$A$1:$H$30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 l="1"/>
  <c r="J33" i="2"/>
  <c r="J32" i="2"/>
  <c r="J29" i="2"/>
  <c r="J28" i="2"/>
  <c r="J27" i="2"/>
  <c r="K22" i="29" l="1"/>
  <c r="J22" i="29"/>
  <c r="K19" i="29"/>
  <c r="J19" i="29"/>
  <c r="K15" i="29"/>
  <c r="L15" i="29" s="1"/>
  <c r="M15" i="29" s="1"/>
  <c r="J15" i="29"/>
  <c r="K12" i="29"/>
  <c r="L12" i="29" s="1"/>
  <c r="J12" i="29"/>
  <c r="K9" i="29"/>
  <c r="L9" i="29" s="1"/>
  <c r="M9" i="29" s="1"/>
  <c r="J9" i="29"/>
  <c r="J39" i="2"/>
  <c r="K22" i="27"/>
  <c r="J22" i="27"/>
  <c r="K19" i="27"/>
  <c r="J19" i="27"/>
  <c r="K15" i="27"/>
  <c r="L15" i="27" s="1"/>
  <c r="M15" i="27" s="1"/>
  <c r="J15" i="27"/>
  <c r="K12" i="27"/>
  <c r="L12" i="27" s="1"/>
  <c r="J12" i="27"/>
  <c r="K9" i="27"/>
  <c r="L9" i="27" s="1"/>
  <c r="M9" i="27" s="1"/>
  <c r="J9" i="27"/>
  <c r="K22" i="26"/>
  <c r="J22" i="26"/>
  <c r="K19" i="26"/>
  <c r="I26" i="26" s="1"/>
  <c r="J19" i="26"/>
  <c r="K15" i="26"/>
  <c r="L15" i="26"/>
  <c r="M15" i="26" s="1"/>
  <c r="J15" i="26"/>
  <c r="K12" i="26"/>
  <c r="L12" i="26" s="1"/>
  <c r="J12" i="26"/>
  <c r="K9" i="26"/>
  <c r="L9" i="26" s="1"/>
  <c r="M9" i="26" s="1"/>
  <c r="J9" i="26"/>
  <c r="K22" i="25"/>
  <c r="J22" i="25"/>
  <c r="K19" i="25"/>
  <c r="I26" i="25" s="1"/>
  <c r="J19" i="25"/>
  <c r="K15" i="25"/>
  <c r="L15" i="25"/>
  <c r="M15" i="25" s="1"/>
  <c r="J15" i="25"/>
  <c r="K12" i="25"/>
  <c r="L12" i="25" s="1"/>
  <c r="J12" i="25"/>
  <c r="K9" i="25"/>
  <c r="L9" i="25" s="1"/>
  <c r="M9" i="25" s="1"/>
  <c r="J9" i="25"/>
  <c r="K22" i="23"/>
  <c r="J22" i="23"/>
  <c r="K19" i="23"/>
  <c r="I26" i="23" s="1"/>
  <c r="J19" i="23"/>
  <c r="K15" i="23"/>
  <c r="L15" i="23" s="1"/>
  <c r="M15" i="23" s="1"/>
  <c r="J15" i="23"/>
  <c r="K12" i="23"/>
  <c r="L12" i="23" s="1"/>
  <c r="J12" i="23"/>
  <c r="K9" i="23"/>
  <c r="L9" i="23" s="1"/>
  <c r="M9" i="23" s="1"/>
  <c r="J9" i="23"/>
  <c r="K22" i="19"/>
  <c r="I26" i="19"/>
  <c r="K26" i="19" s="1"/>
  <c r="J22" i="19"/>
  <c r="K19" i="19"/>
  <c r="J19" i="19"/>
  <c r="K15" i="19"/>
  <c r="L15" i="19" s="1"/>
  <c r="M15" i="19" s="1"/>
  <c r="J15" i="19"/>
  <c r="K12" i="19"/>
  <c r="L12" i="19" s="1"/>
  <c r="J12" i="19"/>
  <c r="K9" i="19"/>
  <c r="L9" i="19" s="1"/>
  <c r="M9" i="19" s="1"/>
  <c r="J9" i="19"/>
  <c r="J3" i="2"/>
  <c r="J4" i="2"/>
  <c r="J5" i="2"/>
  <c r="J6" i="2"/>
  <c r="J7" i="2"/>
  <c r="J8" i="2"/>
  <c r="J9" i="2"/>
  <c r="J10" i="2"/>
  <c r="J11" i="2"/>
  <c r="J12" i="2"/>
  <c r="J13" i="2"/>
  <c r="J14" i="2"/>
  <c r="J15" i="2"/>
  <c r="J16" i="2"/>
  <c r="J17" i="2"/>
  <c r="J40" i="2"/>
  <c r="J41" i="2"/>
  <c r="J42" i="2"/>
  <c r="J43" i="2"/>
  <c r="J44" i="2"/>
  <c r="J45" i="2"/>
  <c r="J46" i="2"/>
  <c r="J47" i="2"/>
  <c r="J48" i="2"/>
  <c r="J49" i="2"/>
  <c r="J50" i="2"/>
  <c r="J51" i="2"/>
  <c r="J52" i="2"/>
  <c r="J53" i="2"/>
  <c r="J54" i="2"/>
  <c r="J55" i="2"/>
  <c r="J56" i="2"/>
  <c r="J57" i="2"/>
  <c r="J58" i="2"/>
  <c r="J59" i="2"/>
  <c r="J60" i="2"/>
  <c r="J61" i="2"/>
  <c r="J62" i="2"/>
  <c r="J104" i="2"/>
  <c r="J105" i="2"/>
  <c r="J106" i="2"/>
  <c r="J107" i="2"/>
  <c r="J108" i="2"/>
  <c r="J109" i="2"/>
  <c r="J110" i="2"/>
  <c r="J111" i="2"/>
  <c r="J112" i="2"/>
  <c r="J113" i="2"/>
  <c r="J114" i="2"/>
  <c r="J115" i="2"/>
  <c r="J9" i="17"/>
  <c r="K9" i="17"/>
  <c r="L9" i="17" s="1"/>
  <c r="M9" i="17" s="1"/>
  <c r="J12" i="17"/>
  <c r="K12" i="17"/>
  <c r="L12" i="17" s="1"/>
  <c r="J15" i="17"/>
  <c r="K15" i="17"/>
  <c r="L15" i="17" s="1"/>
  <c r="M15" i="17" s="1"/>
  <c r="J19" i="17"/>
  <c r="K19" i="17"/>
  <c r="J22" i="17"/>
  <c r="K22" i="17"/>
  <c r="J9" i="16"/>
  <c r="K9" i="16"/>
  <c r="L9" i="16" s="1"/>
  <c r="M9" i="16" s="1"/>
  <c r="J12" i="16"/>
  <c r="K12" i="16"/>
  <c r="L12" i="16" s="1"/>
  <c r="J15" i="16"/>
  <c r="K15" i="16"/>
  <c r="L15" i="16" s="1"/>
  <c r="M15" i="16" s="1"/>
  <c r="J19" i="16"/>
  <c r="K19" i="16"/>
  <c r="J22" i="16"/>
  <c r="K22" i="16"/>
  <c r="J9" i="14"/>
  <c r="K9" i="14"/>
  <c r="L9" i="14" s="1"/>
  <c r="M9" i="14" s="1"/>
  <c r="J12" i="14"/>
  <c r="K12" i="14"/>
  <c r="L12" i="14" s="1"/>
  <c r="J15" i="14"/>
  <c r="K15" i="14"/>
  <c r="L15" i="14" s="1"/>
  <c r="M15" i="14" s="1"/>
  <c r="J19" i="14"/>
  <c r="K19" i="14"/>
  <c r="J22" i="14"/>
  <c r="K22" i="14"/>
  <c r="J9" i="12"/>
  <c r="K9" i="12"/>
  <c r="L9" i="12" s="1"/>
  <c r="M9" i="12" s="1"/>
  <c r="J12" i="12"/>
  <c r="K12" i="12"/>
  <c r="L12" i="12" s="1"/>
  <c r="J15" i="12"/>
  <c r="K15" i="12"/>
  <c r="L15" i="12" s="1"/>
  <c r="M15" i="12" s="1"/>
  <c r="J19" i="12"/>
  <c r="K19" i="12"/>
  <c r="J22" i="12"/>
  <c r="K22" i="12"/>
  <c r="J26" i="19"/>
  <c r="F24" i="16" l="1"/>
  <c r="G24" i="16"/>
  <c r="I26" i="16"/>
  <c r="J26" i="16" s="1"/>
  <c r="I26" i="14"/>
  <c r="J26" i="14" s="1"/>
  <c r="I26" i="27"/>
  <c r="K26" i="27" s="1"/>
  <c r="I26" i="12"/>
  <c r="K26" i="12" s="1"/>
  <c r="I26" i="29"/>
  <c r="N12" i="29"/>
  <c r="C27" i="29" s="1"/>
  <c r="M12" i="29"/>
  <c r="F24" i="29"/>
  <c r="M12" i="23"/>
  <c r="N12" i="23"/>
  <c r="C27" i="23" s="1"/>
  <c r="F24" i="23"/>
  <c r="G24" i="23"/>
  <c r="M12" i="25"/>
  <c r="N12" i="25"/>
  <c r="C27" i="25" s="1"/>
  <c r="J26" i="26"/>
  <c r="K26" i="26"/>
  <c r="F24" i="25"/>
  <c r="G24" i="25"/>
  <c r="M12" i="19"/>
  <c r="N12" i="19"/>
  <c r="C26" i="19" s="1"/>
  <c r="N12" i="26"/>
  <c r="C27" i="26" s="1"/>
  <c r="M12" i="26"/>
  <c r="K26" i="23"/>
  <c r="J26" i="23"/>
  <c r="K26" i="16"/>
  <c r="F24" i="19"/>
  <c r="J26" i="25"/>
  <c r="K26" i="25"/>
  <c r="G24" i="26"/>
  <c r="F24" i="26"/>
  <c r="M12" i="14"/>
  <c r="N12" i="14"/>
  <c r="C27" i="14" s="1"/>
  <c r="G24" i="14"/>
  <c r="F24" i="14"/>
  <c r="N12" i="27"/>
  <c r="C27" i="27" s="1"/>
  <c r="M12" i="27"/>
  <c r="B27" i="27" s="1"/>
  <c r="G24" i="27"/>
  <c r="F24" i="27"/>
  <c r="M12" i="12"/>
  <c r="N12" i="12"/>
  <c r="C27" i="12" s="1"/>
  <c r="F24" i="12"/>
  <c r="G24" i="12"/>
  <c r="N12" i="16"/>
  <c r="C27" i="16" s="1"/>
  <c r="M12" i="16"/>
  <c r="I26" i="17"/>
  <c r="J26" i="17" s="1"/>
  <c r="M12" i="17"/>
  <c r="N12" i="17"/>
  <c r="C27" i="17" s="1"/>
  <c r="G24" i="17"/>
  <c r="F24" i="17"/>
  <c r="K26" i="14" l="1"/>
  <c r="F26" i="14" s="1"/>
  <c r="J26" i="29"/>
  <c r="K26" i="29"/>
  <c r="F20" i="29" s="1"/>
  <c r="G26" i="16"/>
  <c r="F21" i="16"/>
  <c r="G20" i="16"/>
  <c r="F20" i="16"/>
  <c r="G21" i="16"/>
  <c r="F26" i="16"/>
  <c r="F21" i="12"/>
  <c r="J26" i="27"/>
  <c r="J26" i="12"/>
  <c r="B27" i="29"/>
  <c r="F21" i="29"/>
  <c r="F26" i="26"/>
  <c r="G20" i="26"/>
  <c r="F20" i="26"/>
  <c r="G26" i="26"/>
  <c r="F20" i="25"/>
  <c r="G26" i="25"/>
  <c r="F26" i="25"/>
  <c r="G20" i="25"/>
  <c r="K26" i="17"/>
  <c r="G20" i="17" s="1"/>
  <c r="G23" i="17" s="1"/>
  <c r="G25" i="17" s="1"/>
  <c r="G21" i="26"/>
  <c r="F21" i="26"/>
  <c r="B27" i="26"/>
  <c r="F21" i="19"/>
  <c r="B26" i="19"/>
  <c r="G21" i="25"/>
  <c r="B27" i="25"/>
  <c r="F21" i="25"/>
  <c r="F20" i="19"/>
  <c r="G20" i="23"/>
  <c r="G26" i="23"/>
  <c r="F20" i="23"/>
  <c r="F26" i="23"/>
  <c r="F26" i="19"/>
  <c r="B27" i="23"/>
  <c r="G21" i="23"/>
  <c r="F21" i="23"/>
  <c r="B27" i="14"/>
  <c r="G21" i="14"/>
  <c r="F21" i="14"/>
  <c r="G21" i="27"/>
  <c r="F21" i="27"/>
  <c r="G20" i="27"/>
  <c r="F20" i="27"/>
  <c r="F26" i="27"/>
  <c r="G26" i="27"/>
  <c r="G21" i="12"/>
  <c r="B27" i="12"/>
  <c r="G20" i="12"/>
  <c r="G23" i="12" s="1"/>
  <c r="G25" i="12" s="1"/>
  <c r="G26" i="12"/>
  <c r="F26" i="12"/>
  <c r="F20" i="12"/>
  <c r="F23" i="12" s="1"/>
  <c r="F25" i="12" s="1"/>
  <c r="B27" i="16"/>
  <c r="B27" i="17"/>
  <c r="G21" i="17"/>
  <c r="F21" i="17"/>
  <c r="G20" i="14" l="1"/>
  <c r="G23" i="14" s="1"/>
  <c r="G25" i="14" s="1"/>
  <c r="G26" i="14"/>
  <c r="F20" i="14"/>
  <c r="F23" i="14" s="1"/>
  <c r="F25" i="14" s="1"/>
  <c r="F22" i="16"/>
  <c r="F23" i="16"/>
  <c r="F25" i="16" s="1"/>
  <c r="G23" i="16"/>
  <c r="G25" i="16" s="1"/>
  <c r="G22" i="16"/>
  <c r="F22" i="29"/>
  <c r="F26" i="29"/>
  <c r="F26" i="17"/>
  <c r="G26" i="17"/>
  <c r="F20" i="17"/>
  <c r="F23" i="17" s="1"/>
  <c r="F25" i="17" s="1"/>
  <c r="F23" i="29"/>
  <c r="F25" i="29" s="1"/>
  <c r="F22" i="23"/>
  <c r="F23" i="23"/>
  <c r="F25" i="23" s="1"/>
  <c r="F22" i="25"/>
  <c r="F23" i="25"/>
  <c r="F25" i="25" s="1"/>
  <c r="G23" i="23"/>
  <c r="G25" i="23" s="1"/>
  <c r="G22" i="23"/>
  <c r="F23" i="26"/>
  <c r="F25" i="26" s="1"/>
  <c r="F22" i="26"/>
  <c r="G22" i="25"/>
  <c r="G23" i="25"/>
  <c r="G25" i="25" s="1"/>
  <c r="F23" i="19"/>
  <c r="F25" i="19" s="1"/>
  <c r="F22" i="19"/>
  <c r="G22" i="26"/>
  <c r="G23" i="26"/>
  <c r="G25" i="26" s="1"/>
  <c r="F23" i="27"/>
  <c r="F25" i="27" s="1"/>
  <c r="F22" i="27"/>
  <c r="G23" i="27"/>
  <c r="G25" i="27" s="1"/>
  <c r="G22" i="27"/>
  <c r="F22" i="12"/>
  <c r="G22" i="12"/>
  <c r="G22" i="17"/>
  <c r="F22" i="14" l="1"/>
  <c r="G22" i="14"/>
  <c r="F22" i="17"/>
</calcChain>
</file>

<file path=xl/sharedStrings.xml><?xml version="1.0" encoding="utf-8"?>
<sst xmlns="http://schemas.openxmlformats.org/spreadsheetml/2006/main" count="917" uniqueCount="214">
  <si>
    <t>Clouds</t>
  </si>
  <si>
    <t>Image Types</t>
  </si>
  <si>
    <t>PaperType</t>
  </si>
  <si>
    <t>Value</t>
  </si>
  <si>
    <t>Item Number</t>
  </si>
  <si>
    <t>Selected Item</t>
  </si>
  <si>
    <t>Vlookup based on item number</t>
  </si>
  <si>
    <t>Sum of Values</t>
  </si>
  <si>
    <t>Cost Variable</t>
  </si>
  <si>
    <t>Type</t>
  </si>
  <si>
    <t>Clouds- HW Coated</t>
  </si>
  <si>
    <t>Clouds- Glossy</t>
  </si>
  <si>
    <t>Clouds- Satin</t>
  </si>
  <si>
    <t>Combination</t>
  </si>
  <si>
    <t>Cost Factor</t>
  </si>
  <si>
    <t>330ml Ink Tank Price ($)</t>
  </si>
  <si>
    <t>700ml Ink Tank Price ($)</t>
  </si>
  <si>
    <t>Media Name</t>
  </si>
  <si>
    <t>Media Roll Price ($)</t>
  </si>
  <si>
    <t>330ml</t>
  </si>
  <si>
    <t>700ml</t>
  </si>
  <si>
    <t>Ink Cost/Print</t>
  </si>
  <si>
    <t>Media Cost/Print</t>
  </si>
  <si>
    <t>Total Cost/Print</t>
  </si>
  <si>
    <t>Image</t>
  </si>
  <si>
    <t>Vlookup based on the sum of values</t>
  </si>
  <si>
    <t>Cost Analysis</t>
  </si>
  <si>
    <t>Dimensions</t>
  </si>
  <si>
    <t>Ink</t>
  </si>
  <si>
    <t>Media</t>
  </si>
  <si>
    <t>Heavyweight Coated Paper</t>
  </si>
  <si>
    <t>Glossy Photographic Paper 240gsm</t>
  </si>
  <si>
    <t>HW Satin Photo Paper</t>
  </si>
  <si>
    <t>Graphic Matte Canvas</t>
  </si>
  <si>
    <t>Fine Art Photo Rag</t>
  </si>
  <si>
    <t>Clouds-Graphic Canvas</t>
  </si>
  <si>
    <t>Clouds-Photo Rag</t>
  </si>
  <si>
    <t>Polished Rag</t>
  </si>
  <si>
    <t>Clouds- Polished Rag</t>
  </si>
  <si>
    <t>Menu</t>
  </si>
  <si>
    <t>Travel</t>
  </si>
  <si>
    <t>HW Coated Paper</t>
  </si>
  <si>
    <t>Glossy Photo 240gsm</t>
  </si>
  <si>
    <t>Glossy Photo 240gsm (Eco Mode)</t>
  </si>
  <si>
    <t>HW Coated Paper (Eco Mode)</t>
  </si>
  <si>
    <t>HW Satin Photo</t>
  </si>
  <si>
    <t>HW Satin Photo (Eco Mode)</t>
  </si>
  <si>
    <t>Banner Vinyl</t>
  </si>
  <si>
    <t>Menu- HW Coated</t>
  </si>
  <si>
    <t>Menu- HW Coated Eco</t>
  </si>
  <si>
    <t>Menu- Glossy Photo</t>
  </si>
  <si>
    <t>Menu- HW Satin Photo</t>
  </si>
  <si>
    <t>Menu- Graphic Matte Canvas</t>
  </si>
  <si>
    <t>Menu- Glossy Photo Eco</t>
  </si>
  <si>
    <t>Menu- HW Satin Photo Eco</t>
  </si>
  <si>
    <t>Menu- Banner Vinyl</t>
  </si>
  <si>
    <t>Travel- HW Coated Eco</t>
  </si>
  <si>
    <t>Travel- Glossy Photo</t>
  </si>
  <si>
    <t>Travel- HW Satin Photo</t>
  </si>
  <si>
    <t>Travel- Graphic Matte Canvas</t>
  </si>
  <si>
    <t>Travel- HW Coated</t>
  </si>
  <si>
    <t>Travel- Glossy Photo Eco</t>
  </si>
  <si>
    <t>Travel- HW Satin Photo Eco</t>
  </si>
  <si>
    <t>Travel- Banner Vinyl</t>
  </si>
  <si>
    <t>Universal Bond (Draft)</t>
  </si>
  <si>
    <t>Universal Bond (Standard)</t>
  </si>
  <si>
    <t>HW Coated (Standard)</t>
  </si>
  <si>
    <t>HW Coated (High)</t>
  </si>
  <si>
    <t>Glossy Photo 240gsm (Standard)</t>
  </si>
  <si>
    <t>Glossy Photo 240gsm (High)</t>
  </si>
  <si>
    <t>iPF710/610/510</t>
  </si>
  <si>
    <t>130ml Ink Tank Price ($)</t>
  </si>
  <si>
    <t>ISO/JIS No. 5 sample chart</t>
  </si>
  <si>
    <t>Cottage and Elevation.dwg</t>
  </si>
  <si>
    <t>Color CAD File</t>
  </si>
  <si>
    <t>Color CAD File- Univ. Bond (Draft)</t>
  </si>
  <si>
    <t>Color CAD File- Univ. Bond (Std)</t>
  </si>
  <si>
    <t>Color CAD File- HW Coated (Std)</t>
  </si>
  <si>
    <t>Color CAD File- HW Coated (High)</t>
  </si>
  <si>
    <t>Color CAD File- Glossy (Std)</t>
  </si>
  <si>
    <t>Color CAD File- Glossy (High)</t>
  </si>
  <si>
    <t>Bicycle Chart</t>
  </si>
  <si>
    <t>Bicycle Chart- HW Coated</t>
  </si>
  <si>
    <t>Bicycle Chart- Glossy</t>
  </si>
  <si>
    <t>Bicycle Chart- Satin</t>
  </si>
  <si>
    <t>Bicycle Chart- Polished Rag</t>
  </si>
  <si>
    <t>Bicycle Chart- HW Coated Eco</t>
  </si>
  <si>
    <t>Bicycle Chart- Glossy Photo</t>
  </si>
  <si>
    <t>Bicycle Chart- HW Satin Photo</t>
  </si>
  <si>
    <t>Bicycle Chart- Graphic Matte Canvas</t>
  </si>
  <si>
    <t>Bicycle Chart- Univ. Bond (Draft)</t>
  </si>
  <si>
    <t>Bicycle Chart- Univ. Bond (Std)</t>
  </si>
  <si>
    <t>Bicycle Chart- HW Coated (Std)</t>
  </si>
  <si>
    <t>Bicycle Chart- HW Coated (High)</t>
  </si>
  <si>
    <t>Bicycle Chart- Glossy (Std)</t>
  </si>
  <si>
    <t>Bicycle Chart- Glossy (High)</t>
  </si>
  <si>
    <t>Bicylce Chart -Photo Rag</t>
  </si>
  <si>
    <t>Bicylce Chart- HW Satin Photo Eco</t>
  </si>
  <si>
    <t>Bicylce Chart- Glossy Photo Eco</t>
  </si>
  <si>
    <t>Bicylce Chart- HW Coated</t>
  </si>
  <si>
    <t>Bicylce Chart -Graphic Canvas</t>
  </si>
  <si>
    <t>Bicylce Chart-Photo Rag</t>
  </si>
  <si>
    <t>Bicylce Chart - Banner Vinyl</t>
  </si>
  <si>
    <t>Flower</t>
  </si>
  <si>
    <t>Clouds.tif © David Sparer</t>
  </si>
  <si>
    <t>Flower- HW Coated</t>
  </si>
  <si>
    <t>Flower- Glossy</t>
  </si>
  <si>
    <t>Flower- Satin</t>
  </si>
  <si>
    <t>Flower-Graphic Canvas</t>
  </si>
  <si>
    <t>Flower-Photo Rag</t>
  </si>
  <si>
    <t>Flower- Polished Rag</t>
  </si>
  <si>
    <t>Roll Size Width (mm)</t>
  </si>
  <si>
    <t>Roll Size Length (metres)</t>
  </si>
  <si>
    <t>Ink Cost/Sqm.</t>
  </si>
  <si>
    <t>Media Cost/Sqm</t>
  </si>
  <si>
    <t>Total Cost/Sqm</t>
  </si>
  <si>
    <t>Sqm/Ink set</t>
  </si>
  <si>
    <t xml:space="preserve">     Bicycle Chart</t>
  </si>
  <si>
    <t xml:space="preserve">          Clouds</t>
  </si>
  <si>
    <t xml:space="preserve">            Flower</t>
  </si>
  <si>
    <t>Roll Width</t>
  </si>
  <si>
    <t>1270mm (50")</t>
  </si>
  <si>
    <t>1524mm (60")</t>
  </si>
  <si>
    <t>12 metres</t>
  </si>
  <si>
    <t>15 metres</t>
  </si>
  <si>
    <t>20 metres</t>
  </si>
  <si>
    <t>25 metres</t>
  </si>
  <si>
    <t>30 metres</t>
  </si>
  <si>
    <t>50 metres</t>
  </si>
  <si>
    <t>100 metres</t>
  </si>
  <si>
    <t>150 metres</t>
  </si>
  <si>
    <t>431.8mm (17")</t>
  </si>
  <si>
    <t>254mm (10")</t>
  </si>
  <si>
    <t>297mm (A3/A4 roll)</t>
  </si>
  <si>
    <t>355.6mm (14")</t>
  </si>
  <si>
    <t>406.4mm (16")</t>
  </si>
  <si>
    <t>420mm (A2/A3 roll)</t>
  </si>
  <si>
    <t>515mm (BS/B3 roll)</t>
  </si>
  <si>
    <t>594mm (A1/A2 roll)</t>
  </si>
  <si>
    <t>728mm (B1/B2 roll)</t>
  </si>
  <si>
    <t>762mm (30")</t>
  </si>
  <si>
    <t>609.6mm (24")</t>
  </si>
  <si>
    <t>914.4mm (36")</t>
  </si>
  <si>
    <t>1030mm (B0/B1 roll)</t>
  </si>
  <si>
    <t>1066.8mm (42")</t>
  </si>
  <si>
    <t>1117.6mm (44")</t>
  </si>
  <si>
    <t>1371.6mm (54")</t>
  </si>
  <si>
    <t>Roll Length</t>
  </si>
  <si>
    <t>Page Size</t>
  </si>
  <si>
    <t>20"x 24"</t>
  </si>
  <si>
    <t>18" x 22"</t>
  </si>
  <si>
    <t>14" x 17"</t>
  </si>
  <si>
    <t>12" x 16"</t>
  </si>
  <si>
    <t>10" x 12"</t>
  </si>
  <si>
    <t>10" x 15"</t>
  </si>
  <si>
    <t>16" x 20"</t>
  </si>
  <si>
    <t>13" x 22"</t>
  </si>
  <si>
    <t>20" x 30"</t>
  </si>
  <si>
    <t>8" x 10"</t>
  </si>
  <si>
    <t>A/B-Series</t>
  </si>
  <si>
    <t>A2+ (431.8 x 609.6)</t>
  </si>
  <si>
    <t>A3+ (329.0 x 483.0)</t>
  </si>
  <si>
    <t>A1   (594.0 x 841.0)</t>
  </si>
  <si>
    <t>A0   (841.0 x 1189.0)</t>
  </si>
  <si>
    <t>A2   (420.0 x 594.0)</t>
  </si>
  <si>
    <t>A4   (297.0 x 420.0)</t>
  </si>
  <si>
    <t>B1  (728.0 x 1030.0)</t>
  </si>
  <si>
    <t>B2  (515.0 x 728.0)</t>
  </si>
  <si>
    <t>B3  (364.0 x 515.0)</t>
  </si>
  <si>
    <t>B4  (257.0 x 364.0)</t>
  </si>
  <si>
    <t>Width</t>
  </si>
  <si>
    <t>Height</t>
  </si>
  <si>
    <t>Length</t>
  </si>
  <si>
    <t>A/B-Series Width</t>
  </si>
  <si>
    <t>A/B-Series Height</t>
  </si>
  <si>
    <t>B0  (1030.0 x 1456.0)</t>
  </si>
  <si>
    <t>Photo Sizes</t>
  </si>
  <si>
    <t>Click to select size…</t>
  </si>
  <si>
    <t>Click to select width…</t>
  </si>
  <si>
    <t>Click to select length…</t>
  </si>
  <si>
    <t>Width (mm)</t>
  </si>
  <si>
    <t>Height (mm)</t>
  </si>
  <si>
    <t xml:space="preserve"> Flower.tif © David Sparer</t>
  </si>
  <si>
    <t xml:space="preserve">          Menu</t>
  </si>
  <si>
    <t xml:space="preserve">            Travel</t>
  </si>
  <si>
    <t xml:space="preserve">            Menu.tif</t>
  </si>
  <si>
    <t xml:space="preserve">              Travel.ai</t>
  </si>
  <si>
    <t>130ml</t>
  </si>
  <si>
    <t xml:space="preserve">    Colour Cad File</t>
  </si>
  <si>
    <t xml:space="preserve">        Mono Cad File</t>
  </si>
  <si>
    <t xml:space="preserve">             CAD_CIS_04.pdf</t>
  </si>
  <si>
    <t>Mono CAD File</t>
  </si>
  <si>
    <t>Mono CAD File- Univ. Bond (Draft)</t>
  </si>
  <si>
    <t>Mono CAD File- Univ. Bond (Std)</t>
  </si>
  <si>
    <t>Mono CAD File- HW Coated (Std)</t>
  </si>
  <si>
    <t>Mono CAD File- HW Coated (High)</t>
  </si>
  <si>
    <t>841mm (A0/A1 roll)</t>
  </si>
  <si>
    <t>300ml Ink Tank Price ($)</t>
  </si>
  <si>
    <t>300ml</t>
  </si>
  <si>
    <t>Print size/Ink set</t>
  </si>
  <si>
    <t>Print Size</t>
  </si>
  <si>
    <t>Calculator not to be sent to end users. 
ONLY to be used by authorised Canon LFP resellers.</t>
  </si>
  <si>
    <t>iPF PRO-4000 6000</t>
  </si>
  <si>
    <t>iPF PRO-6000S 4000S</t>
  </si>
  <si>
    <t>TM-Series</t>
  </si>
  <si>
    <t>TX-Series</t>
  </si>
  <si>
    <t>160ml</t>
  </si>
  <si>
    <t>55ml</t>
  </si>
  <si>
    <t>55ml Ink Price ($)</t>
  </si>
  <si>
    <t>GP200 &amp; 300</t>
  </si>
  <si>
    <t>Plain Paper</t>
  </si>
  <si>
    <t>Bicycle Chart- Plain Paper</t>
  </si>
  <si>
    <t>Clouds - Plain Paper</t>
  </si>
  <si>
    <t>Flower - Plain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</si>
</sst>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_);\(&quot;$&quot;#,##0.00\)"/>
    <numFmt numFmtId="165" formatCode="&quot;$&quot;#,##0.00"/>
    <numFmt numFmtId="166" formatCode="[$$-C09]#,##0.00"/>
  </numFmts>
  <fonts count="51" x14ac:knownFonts="1">
    <font>
      <sz val="11"/>
      <color theme="1"/>
      <name val="Calibri"/>
      <family val="2"/>
      <scheme val="minor"/>
    </font>
    <font>
      <sz val="11"/>
      <color indexed="8"/>
      <name val="Calibri"/>
      <family val="2"/>
    </font>
    <font>
      <b/>
      <sz val="11"/>
      <color indexed="8"/>
      <name val="Calibri"/>
      <family val="2"/>
    </font>
    <font>
      <i/>
      <sz val="11"/>
      <color indexed="8"/>
      <name val="Calibri"/>
      <family val="2"/>
    </font>
    <font>
      <b/>
      <sz val="12"/>
      <name val="Arial"/>
      <family val="2"/>
    </font>
    <font>
      <sz val="8"/>
      <name val="Calibri"/>
      <family val="2"/>
    </font>
    <font>
      <sz val="14"/>
      <color indexed="8"/>
      <name val="Arial"/>
      <family val="2"/>
    </font>
    <font>
      <sz val="16"/>
      <color indexed="8"/>
      <name val="Arial"/>
      <family val="2"/>
    </font>
    <font>
      <b/>
      <sz val="10"/>
      <name val="Arial"/>
      <family val="2"/>
    </font>
    <font>
      <sz val="11"/>
      <color indexed="8"/>
      <name val="Calibri"/>
      <family val="2"/>
    </font>
    <font>
      <b/>
      <sz val="11"/>
      <name val="Calibri"/>
      <family val="2"/>
    </font>
    <font>
      <sz val="11"/>
      <name val="Calibri"/>
      <family val="2"/>
    </font>
    <font>
      <sz val="22"/>
      <color indexed="9"/>
      <name val="Arial"/>
      <family val="2"/>
    </font>
    <font>
      <sz val="12"/>
      <color indexed="9"/>
      <name val="Calibri"/>
      <family val="2"/>
    </font>
    <font>
      <sz val="10"/>
      <color indexed="8"/>
      <name val="Arial"/>
      <family val="2"/>
    </font>
    <font>
      <sz val="8"/>
      <color indexed="8"/>
      <name val="Calibri"/>
      <family val="2"/>
    </font>
    <font>
      <sz val="14"/>
      <color indexed="9"/>
      <name val="Calibri"/>
      <family val="2"/>
    </font>
    <font>
      <sz val="14"/>
      <color indexed="8"/>
      <name val="Calibri"/>
      <family val="2"/>
    </font>
    <font>
      <sz val="10"/>
      <color indexed="8"/>
      <name val="Times New Roman"/>
      <family val="1"/>
    </font>
    <font>
      <sz val="7.5"/>
      <color indexed="8"/>
      <name val="Myriad Web Pro"/>
      <family val="2"/>
    </font>
    <font>
      <sz val="13"/>
      <name val="Arial"/>
      <family val="2"/>
    </font>
    <font>
      <b/>
      <u/>
      <sz val="14"/>
      <color indexed="8"/>
      <name val="Arial"/>
      <family val="2"/>
    </font>
    <font>
      <b/>
      <sz val="10"/>
      <name val="Calibri"/>
      <family val="2"/>
    </font>
    <font>
      <sz val="10"/>
      <name val="Calibri"/>
      <family val="2"/>
    </font>
    <font>
      <b/>
      <sz val="8"/>
      <name val="Arial"/>
      <family val="2"/>
    </font>
    <font>
      <sz val="10"/>
      <name val="Arial"/>
      <family val="2"/>
    </font>
    <font>
      <sz val="10"/>
      <color indexed="8"/>
      <name val="Calibri"/>
      <family val="2"/>
    </font>
    <font>
      <b/>
      <sz val="10"/>
      <color rgb="FFFF0000"/>
      <name val="Arial Black"/>
      <family val="2"/>
    </font>
    <font>
      <sz val="11"/>
      <color theme="1"/>
      <name val="Calibri"/>
      <family val="2"/>
      <scheme val="minor"/>
    </font>
    <font>
      <sz val="11"/>
      <color theme="1"/>
      <name val="Poppins"/>
    </font>
    <font>
      <sz val="22"/>
      <color indexed="9"/>
      <name val="Poppins"/>
    </font>
    <font>
      <sz val="12"/>
      <color indexed="9"/>
      <name val="Poppins"/>
    </font>
    <font>
      <sz val="14"/>
      <color indexed="8"/>
      <name val="Poppins"/>
    </font>
    <font>
      <b/>
      <sz val="10"/>
      <name val="Poppins"/>
    </font>
    <font>
      <i/>
      <sz val="11"/>
      <color indexed="8"/>
      <name val="Poppins"/>
    </font>
    <font>
      <b/>
      <sz val="11"/>
      <color indexed="8"/>
      <name val="Poppins"/>
    </font>
    <font>
      <sz val="8"/>
      <color indexed="8"/>
      <name val="Poppins"/>
    </font>
    <font>
      <b/>
      <sz val="8"/>
      <name val="Poppins"/>
    </font>
    <font>
      <sz val="16"/>
      <color indexed="8"/>
      <name val="Poppins"/>
    </font>
    <font>
      <sz val="10"/>
      <name val="Poppins"/>
    </font>
    <font>
      <b/>
      <sz val="12"/>
      <name val="Poppins"/>
    </font>
    <font>
      <sz val="10"/>
      <color indexed="8"/>
      <name val="Poppins"/>
    </font>
    <font>
      <b/>
      <sz val="10"/>
      <color rgb="FFFF0000"/>
      <name val="Poppins"/>
    </font>
    <font>
      <sz val="10"/>
      <color theme="1"/>
      <name val="Poppins"/>
    </font>
    <font>
      <b/>
      <sz val="10"/>
      <color indexed="8"/>
      <name val="Poppins"/>
    </font>
    <font>
      <sz val="11"/>
      <name val="Poppins"/>
    </font>
    <font>
      <b/>
      <sz val="11"/>
      <name val="Poppins"/>
    </font>
    <font>
      <i/>
      <sz val="11"/>
      <name val="Poppins"/>
    </font>
    <font>
      <sz val="7"/>
      <name val="Poppins"/>
    </font>
    <font>
      <b/>
      <sz val="8"/>
      <color rgb="FFFF0000"/>
      <name val="Poppins"/>
    </font>
    <font>
      <b/>
      <sz val="10"/>
      <color theme="0"/>
      <name val="Poppins"/>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
      <patternFill patternType="solid">
        <fgColor rgb="FF4D4D4D"/>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44" fontId="28" fillId="0" borderId="0" applyFont="0" applyFill="0" applyBorder="0" applyAlignment="0" applyProtection="0"/>
  </cellStyleXfs>
  <cellXfs count="243">
    <xf numFmtId="0" fontId="0" fillId="0" borderId="0" xfId="0"/>
    <xf numFmtId="0" fontId="9" fillId="0" borderId="0" xfId="0" applyFont="1"/>
    <xf numFmtId="0" fontId="1" fillId="0" borderId="0" xfId="0" applyFont="1"/>
    <xf numFmtId="0" fontId="2" fillId="0" borderId="0" xfId="0" applyFont="1"/>
    <xf numFmtId="0" fontId="10" fillId="0" borderId="0" xfId="0" applyFont="1"/>
    <xf numFmtId="0" fontId="11" fillId="0" borderId="0" xfId="0" applyFont="1"/>
    <xf numFmtId="0" fontId="8" fillId="0" borderId="0" xfId="0" applyFont="1" applyAlignment="1">
      <alignment vertical="center" wrapText="1" shrinkToFit="1"/>
    </xf>
    <xf numFmtId="0" fontId="15" fillId="0" borderId="0" xfId="0" applyFont="1"/>
    <xf numFmtId="0" fontId="19" fillId="0" borderId="0" xfId="0" applyFont="1" applyAlignment="1">
      <alignment horizontal="left"/>
    </xf>
    <xf numFmtId="0" fontId="18" fillId="0" borderId="0" xfId="0" applyFont="1" applyAlignment="1">
      <alignment horizontal="left"/>
    </xf>
    <xf numFmtId="0" fontId="13" fillId="0" borderId="0" xfId="0" applyFont="1" applyAlignment="1">
      <alignment horizontal="center" vertical="center"/>
    </xf>
    <xf numFmtId="0" fontId="0" fillId="0" borderId="0" xfId="0" applyProtection="1">
      <protection locked="0" hidden="1"/>
    </xf>
    <xf numFmtId="0" fontId="3" fillId="0" borderId="0" xfId="0" applyFont="1" applyAlignment="1" applyProtection="1">
      <alignment horizontal="left"/>
      <protection locked="0" hidden="1"/>
    </xf>
    <xf numFmtId="0" fontId="3" fillId="0" borderId="0" xfId="0" applyFont="1" applyAlignment="1" applyProtection="1">
      <alignment horizontal="center"/>
      <protection locked="0" hidden="1"/>
    </xf>
    <xf numFmtId="0" fontId="0" fillId="0" borderId="1" xfId="0" applyBorder="1" applyProtection="1">
      <protection locked="0" hidden="1"/>
    </xf>
    <xf numFmtId="0" fontId="0" fillId="0" borderId="2" xfId="0" applyBorder="1" applyProtection="1">
      <protection locked="0" hidden="1"/>
    </xf>
    <xf numFmtId="0" fontId="2" fillId="0" borderId="0" xfId="0" applyFont="1" applyProtection="1">
      <protection locked="0" hidden="1"/>
    </xf>
    <xf numFmtId="0" fontId="2" fillId="0" borderId="3" xfId="0" applyFont="1" applyBorder="1" applyProtection="1">
      <protection locked="0" hidden="1"/>
    </xf>
    <xf numFmtId="0" fontId="2" fillId="0" borderId="4" xfId="0" applyFont="1" applyBorder="1" applyProtection="1">
      <protection locked="0" hidden="1"/>
    </xf>
    <xf numFmtId="0" fontId="0" fillId="0" borderId="3" xfId="0" applyBorder="1" applyProtection="1">
      <protection locked="0" hidden="1"/>
    </xf>
    <xf numFmtId="0" fontId="0" fillId="0" borderId="4" xfId="0" applyBorder="1" applyProtection="1">
      <protection locked="0" hidden="1"/>
    </xf>
    <xf numFmtId="0" fontId="3" fillId="0" borderId="5" xfId="0" applyFont="1" applyBorder="1" applyAlignment="1" applyProtection="1">
      <alignment horizontal="left"/>
      <protection locked="0" hidden="1"/>
    </xf>
    <xf numFmtId="0" fontId="0" fillId="2" borderId="0" xfId="0" applyFill="1"/>
    <xf numFmtId="0" fontId="8" fillId="0" borderId="0" xfId="0" applyFont="1" applyAlignment="1">
      <alignment horizontal="left" vertical="center" wrapText="1" shrinkToFit="1"/>
    </xf>
    <xf numFmtId="0" fontId="4" fillId="0" borderId="0" xfId="0" applyFont="1"/>
    <xf numFmtId="0" fontId="8" fillId="0" borderId="0" xfId="0" applyFont="1" applyAlignment="1">
      <alignment horizontal="center"/>
    </xf>
    <xf numFmtId="0" fontId="4" fillId="0" borderId="0" xfId="0" applyFont="1" applyAlignment="1">
      <alignment horizontal="center"/>
    </xf>
    <xf numFmtId="165" fontId="4" fillId="0" borderId="0" xfId="0" applyNumberFormat="1" applyFont="1" applyAlignment="1">
      <alignment horizontal="center"/>
    </xf>
    <xf numFmtId="0" fontId="8" fillId="0" borderId="0" xfId="0" applyFont="1"/>
    <xf numFmtId="0" fontId="25" fillId="0" borderId="6" xfId="0" applyFont="1" applyBorder="1"/>
    <xf numFmtId="2" fontId="8" fillId="0" borderId="0" xfId="0" applyNumberFormat="1" applyFont="1" applyAlignment="1">
      <alignment horizontal="center"/>
    </xf>
    <xf numFmtId="0" fontId="26" fillId="0" borderId="0" xfId="0" applyFont="1"/>
    <xf numFmtId="165" fontId="25" fillId="0" borderId="6" xfId="0" applyNumberFormat="1" applyFont="1" applyBorder="1" applyAlignment="1">
      <alignment horizontal="center"/>
    </xf>
    <xf numFmtId="1" fontId="25" fillId="0" borderId="6" xfId="0" applyNumberFormat="1" applyFont="1" applyBorder="1" applyAlignment="1">
      <alignment horizontal="center"/>
    </xf>
    <xf numFmtId="0" fontId="6" fillId="0" borderId="0" xfId="0" applyFont="1"/>
    <xf numFmtId="0" fontId="7" fillId="0" borderId="0" xfId="0" applyFont="1"/>
    <xf numFmtId="0" fontId="8" fillId="0" borderId="0" xfId="0" applyFont="1" applyAlignment="1">
      <alignment horizontal="left" vertical="top"/>
    </xf>
    <xf numFmtId="0" fontId="24" fillId="0" borderId="0" xfId="0" applyFont="1" applyAlignment="1">
      <alignment horizontal="left"/>
    </xf>
    <xf numFmtId="0" fontId="22" fillId="0" borderId="0" xfId="0" applyFont="1" applyAlignment="1">
      <alignment horizontal="left" vertical="center" wrapText="1" shrinkToFit="1"/>
    </xf>
    <xf numFmtId="0" fontId="23" fillId="0" borderId="0" xfId="0" applyFont="1" applyAlignment="1">
      <alignment horizontal="left" vertical="center" wrapText="1" shrinkToFit="1"/>
    </xf>
    <xf numFmtId="0" fontId="11" fillId="0" borderId="0" xfId="0" applyFont="1" applyAlignment="1">
      <alignment horizontal="left" vertical="center" wrapText="1" shrinkToFit="1"/>
    </xf>
    <xf numFmtId="0" fontId="0" fillId="0" borderId="0" xfId="0" applyAlignment="1">
      <alignment horizontal="center"/>
    </xf>
    <xf numFmtId="0" fontId="8" fillId="0" borderId="0" xfId="0" applyFont="1" applyAlignment="1">
      <alignment horizontal="left"/>
    </xf>
    <xf numFmtId="2" fontId="0" fillId="0" borderId="0" xfId="0" applyNumberFormat="1"/>
    <xf numFmtId="0" fontId="2" fillId="0" borderId="3" xfId="0" applyFont="1" applyBorder="1" applyAlignment="1" applyProtection="1">
      <alignment horizontal="left"/>
      <protection locked="0" hidden="1"/>
    </xf>
    <xf numFmtId="2" fontId="2" fillId="0" borderId="3" xfId="0" applyNumberFormat="1" applyFont="1" applyBorder="1" applyAlignment="1" applyProtection="1">
      <alignment horizontal="left"/>
      <protection locked="0" hidden="1"/>
    </xf>
    <xf numFmtId="165" fontId="25" fillId="3" borderId="6" xfId="0" applyNumberFormat="1" applyFont="1" applyFill="1" applyBorder="1" applyAlignment="1" applyProtection="1">
      <alignment horizontal="center"/>
      <protection locked="0"/>
    </xf>
    <xf numFmtId="164" fontId="25" fillId="3" borderId="6" xfId="0" applyNumberFormat="1" applyFont="1" applyFill="1" applyBorder="1" applyAlignment="1" applyProtection="1">
      <alignment horizontal="center"/>
      <protection locked="0"/>
    </xf>
    <xf numFmtId="0" fontId="8" fillId="4" borderId="6" xfId="0" applyFont="1" applyFill="1" applyBorder="1"/>
    <xf numFmtId="0" fontId="15" fillId="2" borderId="0" xfId="0" applyFont="1" applyFill="1"/>
    <xf numFmtId="0" fontId="2" fillId="2" borderId="0" xfId="0" applyFont="1" applyFill="1"/>
    <xf numFmtId="165" fontId="4" fillId="2" borderId="0" xfId="0" applyNumberFormat="1" applyFont="1" applyFill="1" applyAlignment="1">
      <alignment horizontal="center"/>
    </xf>
    <xf numFmtId="2" fontId="4" fillId="2" borderId="0" xfId="0" applyNumberFormat="1" applyFont="1" applyFill="1" applyAlignment="1">
      <alignment horizontal="center"/>
    </xf>
    <xf numFmtId="2" fontId="25" fillId="0" borderId="6" xfId="0" applyNumberFormat="1" applyFont="1" applyBorder="1" applyAlignment="1">
      <alignment horizontal="center"/>
    </xf>
    <xf numFmtId="2" fontId="25" fillId="3" borderId="6" xfId="0" applyNumberFormat="1" applyFont="1" applyFill="1" applyBorder="1" applyAlignment="1">
      <alignment horizontal="center"/>
    </xf>
    <xf numFmtId="0" fontId="8" fillId="2" borderId="0" xfId="0" applyFont="1" applyFill="1" applyAlignment="1">
      <alignment vertical="center" wrapText="1" shrinkToFit="1"/>
    </xf>
    <xf numFmtId="0" fontId="0" fillId="2" borderId="0" xfId="0" applyFill="1" applyProtection="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center"/>
      <protection hidden="1"/>
    </xf>
    <xf numFmtId="0" fontId="2" fillId="2" borderId="0" xfId="0" applyFont="1" applyFill="1" applyProtection="1">
      <protection hidden="1"/>
    </xf>
    <xf numFmtId="2" fontId="2" fillId="2" borderId="0" xfId="0" applyNumberFormat="1" applyFont="1" applyFill="1" applyAlignment="1" applyProtection="1">
      <alignment horizontal="left"/>
      <protection hidden="1"/>
    </xf>
    <xf numFmtId="0" fontId="25" fillId="0" borderId="6" xfId="0" applyFont="1" applyBorder="1" applyAlignment="1">
      <alignment horizontal="center"/>
    </xf>
    <xf numFmtId="165" fontId="25" fillId="0" borderId="0" xfId="0" applyNumberFormat="1" applyFont="1" applyAlignment="1">
      <alignment horizontal="center"/>
    </xf>
    <xf numFmtId="1" fontId="25" fillId="0" borderId="0" xfId="0" applyNumberFormat="1" applyFont="1" applyAlignment="1">
      <alignment horizontal="center"/>
    </xf>
    <xf numFmtId="165" fontId="8" fillId="0" borderId="0" xfId="0" applyNumberFormat="1" applyFont="1" applyAlignment="1">
      <alignment horizontal="center"/>
    </xf>
    <xf numFmtId="0" fontId="12" fillId="0" borderId="0" xfId="0" applyFont="1" applyAlignment="1">
      <alignment horizontal="center" vertical="center"/>
    </xf>
    <xf numFmtId="0" fontId="3" fillId="0" borderId="0" xfId="0" applyFont="1" applyAlignment="1">
      <alignment horizontal="left"/>
    </xf>
    <xf numFmtId="0" fontId="0" fillId="2" borderId="0" xfId="0" applyFill="1" applyAlignment="1">
      <alignment wrapText="1"/>
    </xf>
    <xf numFmtId="0" fontId="3" fillId="0" borderId="0" xfId="0" applyFont="1" applyAlignment="1">
      <alignment horizontal="center"/>
    </xf>
    <xf numFmtId="0" fontId="3" fillId="0" borderId="5" xfId="0" applyFont="1" applyBorder="1" applyAlignment="1">
      <alignment horizontal="left"/>
    </xf>
    <xf numFmtId="0" fontId="0" fillId="0" borderId="1" xfId="0" applyBorder="1"/>
    <xf numFmtId="0" fontId="0" fillId="0" borderId="2" xfId="0" applyBorder="1"/>
    <xf numFmtId="0" fontId="2" fillId="0" borderId="3" xfId="0" applyFont="1" applyBorder="1"/>
    <xf numFmtId="0" fontId="2" fillId="0" borderId="4" xfId="0" applyFont="1" applyBorder="1"/>
    <xf numFmtId="2" fontId="2" fillId="0" borderId="3" xfId="0" applyNumberFormat="1" applyFont="1" applyBorder="1" applyAlignment="1">
      <alignment horizontal="left"/>
    </xf>
    <xf numFmtId="0" fontId="2" fillId="0" borderId="3" xfId="0" applyFont="1" applyBorder="1" applyAlignment="1">
      <alignment horizontal="left"/>
    </xf>
    <xf numFmtId="0" fontId="3" fillId="2" borderId="0" xfId="0" applyFont="1" applyFill="1" applyAlignment="1">
      <alignment horizontal="left"/>
    </xf>
    <xf numFmtId="0" fontId="3" fillId="2" borderId="0" xfId="0" applyFont="1" applyFill="1" applyAlignment="1">
      <alignment horizontal="center"/>
    </xf>
    <xf numFmtId="2" fontId="2" fillId="2" borderId="0" xfId="0" applyNumberFormat="1" applyFont="1" applyFill="1" applyAlignment="1">
      <alignment horizontal="left"/>
    </xf>
    <xf numFmtId="0" fontId="0" fillId="0" borderId="3" xfId="0" applyBorder="1"/>
    <xf numFmtId="0" fontId="0" fillId="0" borderId="4" xfId="0" applyBorder="1"/>
    <xf numFmtId="0" fontId="2" fillId="0" borderId="0" xfId="0" applyFont="1" applyProtection="1">
      <protection locked="0"/>
    </xf>
    <xf numFmtId="0" fontId="0" fillId="0" borderId="0" xfId="0" applyProtection="1">
      <protection locked="0"/>
    </xf>
    <xf numFmtId="0" fontId="0" fillId="0" borderId="0" xfId="0" applyAlignment="1">
      <alignment horizontal="center" vertical="center"/>
    </xf>
    <xf numFmtId="0" fontId="0" fillId="5" borderId="0" xfId="0" applyFill="1"/>
    <xf numFmtId="0" fontId="25" fillId="0" borderId="7" xfId="0" applyFont="1" applyBorder="1"/>
    <xf numFmtId="165" fontId="25" fillId="0" borderId="8" xfId="0" applyNumberFormat="1" applyFont="1" applyBorder="1" applyAlignment="1">
      <alignment horizontal="center"/>
    </xf>
    <xf numFmtId="165" fontId="8" fillId="4" borderId="9" xfId="0" applyNumberFormat="1" applyFont="1" applyFill="1" applyBorder="1" applyAlignment="1">
      <alignment horizontal="center"/>
    </xf>
    <xf numFmtId="0" fontId="8" fillId="6" borderId="6" xfId="0" applyFont="1" applyFill="1" applyBorder="1"/>
    <xf numFmtId="165" fontId="8" fillId="6" borderId="6" xfId="0" applyNumberFormat="1" applyFont="1" applyFill="1" applyBorder="1" applyAlignment="1">
      <alignment horizontal="center"/>
    </xf>
    <xf numFmtId="0" fontId="0" fillId="7" borderId="6" xfId="0" applyFill="1" applyBorder="1"/>
    <xf numFmtId="0" fontId="0" fillId="8" borderId="6" xfId="0" applyFill="1" applyBorder="1"/>
    <xf numFmtId="0" fontId="0" fillId="9" borderId="6" xfId="0" applyFill="1" applyBorder="1"/>
    <xf numFmtId="0" fontId="29" fillId="0" borderId="0" xfId="0" applyFont="1"/>
    <xf numFmtId="0" fontId="30" fillId="0" borderId="0" xfId="0" applyFont="1" applyAlignment="1">
      <alignment horizontal="center" vertical="center"/>
    </xf>
    <xf numFmtId="0" fontId="29" fillId="0" borderId="0" xfId="0" applyFont="1" applyAlignment="1">
      <alignment horizontal="center" vertical="center"/>
    </xf>
    <xf numFmtId="0" fontId="29" fillId="2" borderId="0" xfId="0" applyFont="1" applyFill="1"/>
    <xf numFmtId="0" fontId="31" fillId="0" borderId="0" xfId="0" applyFont="1" applyAlignment="1">
      <alignment horizontal="center" vertical="center"/>
    </xf>
    <xf numFmtId="0" fontId="32" fillId="0" borderId="0" xfId="0" applyFont="1"/>
    <xf numFmtId="0" fontId="33" fillId="0" borderId="0" xfId="0" applyFont="1" applyAlignment="1">
      <alignment horizontal="left" vertical="top"/>
    </xf>
    <xf numFmtId="0" fontId="29" fillId="0" borderId="0" xfId="0" applyFont="1" applyProtection="1">
      <protection locked="0" hidden="1"/>
    </xf>
    <xf numFmtId="0" fontId="34" fillId="0" borderId="0" xfId="0" applyFont="1" applyAlignment="1" applyProtection="1">
      <alignment horizontal="left"/>
      <protection locked="0" hidden="1"/>
    </xf>
    <xf numFmtId="0" fontId="34" fillId="0" borderId="0" xfId="0" applyFont="1" applyAlignment="1" applyProtection="1">
      <alignment horizontal="center"/>
      <protection locked="0" hidden="1"/>
    </xf>
    <xf numFmtId="0" fontId="34" fillId="0" borderId="5" xfId="0" applyFont="1" applyBorder="1" applyAlignment="1" applyProtection="1">
      <alignment horizontal="left"/>
      <protection locked="0" hidden="1"/>
    </xf>
    <xf numFmtId="0" fontId="29" fillId="0" borderId="1" xfId="0" applyFont="1" applyBorder="1" applyProtection="1">
      <protection locked="0" hidden="1"/>
    </xf>
    <xf numFmtId="0" fontId="29" fillId="0" borderId="2" xfId="0" applyFont="1" applyBorder="1" applyProtection="1">
      <protection locked="0" hidden="1"/>
    </xf>
    <xf numFmtId="0" fontId="35" fillId="0" borderId="0" xfId="0" applyFont="1" applyProtection="1">
      <protection locked="0" hidden="1"/>
    </xf>
    <xf numFmtId="0" fontId="35" fillId="0" borderId="3" xfId="0" applyFont="1" applyBorder="1" applyProtection="1">
      <protection locked="0" hidden="1"/>
    </xf>
    <xf numFmtId="0" fontId="35" fillId="0" borderId="4" xfId="0" applyFont="1" applyBorder="1" applyProtection="1">
      <protection locked="0" hidden="1"/>
    </xf>
    <xf numFmtId="2" fontId="35" fillId="0" borderId="3" xfId="0" applyNumberFormat="1" applyFont="1" applyBorder="1" applyAlignment="1" applyProtection="1">
      <alignment horizontal="left"/>
      <protection locked="0" hidden="1"/>
    </xf>
    <xf numFmtId="0" fontId="35" fillId="0" borderId="3" xfId="0" applyFont="1" applyBorder="1" applyAlignment="1" applyProtection="1">
      <alignment horizontal="left"/>
      <protection locked="0" hidden="1"/>
    </xf>
    <xf numFmtId="0" fontId="29" fillId="2" borderId="0" xfId="0" applyFont="1" applyFill="1" applyProtection="1">
      <protection hidden="1"/>
    </xf>
    <xf numFmtId="0" fontId="34" fillId="2" borderId="0" xfId="0" applyFont="1" applyFill="1" applyAlignment="1" applyProtection="1">
      <alignment horizontal="left"/>
      <protection hidden="1"/>
    </xf>
    <xf numFmtId="0" fontId="34" fillId="2" borderId="0" xfId="0" applyFont="1" applyFill="1" applyAlignment="1" applyProtection="1">
      <alignment horizontal="center"/>
      <protection hidden="1"/>
    </xf>
    <xf numFmtId="0" fontId="36" fillId="0" borderId="0" xfId="0" applyFont="1"/>
    <xf numFmtId="0" fontId="36" fillId="2" borderId="0" xfId="0" applyFont="1" applyFill="1"/>
    <xf numFmtId="0" fontId="35" fillId="2" borderId="0" xfId="0" applyFont="1" applyFill="1" applyProtection="1">
      <protection hidden="1"/>
    </xf>
    <xf numFmtId="2" fontId="35" fillId="2" borderId="0" xfId="0" applyNumberFormat="1" applyFont="1" applyFill="1" applyAlignment="1" applyProtection="1">
      <alignment horizontal="left"/>
      <protection hidden="1"/>
    </xf>
    <xf numFmtId="0" fontId="37" fillId="0" borderId="0" xfId="0" applyFont="1" applyAlignment="1">
      <alignment horizontal="left"/>
    </xf>
    <xf numFmtId="0" fontId="38" fillId="0" borderId="0" xfId="0" applyFont="1"/>
    <xf numFmtId="0" fontId="40" fillId="0" borderId="0" xfId="0" applyFont="1" applyAlignment="1">
      <alignment horizontal="center"/>
    </xf>
    <xf numFmtId="0" fontId="40" fillId="0" borderId="0" xfId="0" applyFont="1"/>
    <xf numFmtId="0" fontId="35" fillId="0" borderId="0" xfId="0" applyFont="1"/>
    <xf numFmtId="0" fontId="35" fillId="2" borderId="0" xfId="0" applyFont="1" applyFill="1"/>
    <xf numFmtId="0" fontId="29" fillId="0" borderId="3" xfId="0" applyFont="1" applyBorder="1" applyProtection="1">
      <protection locked="0" hidden="1"/>
    </xf>
    <xf numFmtId="0" fontId="29" fillId="0" borderId="4" xfId="0" applyFont="1" applyBorder="1" applyProtection="1">
      <protection locked="0" hidden="1"/>
    </xf>
    <xf numFmtId="165" fontId="40" fillId="2" borderId="0" xfId="0" applyNumberFormat="1" applyFont="1" applyFill="1" applyAlignment="1">
      <alignment horizontal="center"/>
    </xf>
    <xf numFmtId="165" fontId="40" fillId="0" borderId="0" xfId="0" applyNumberFormat="1" applyFont="1" applyAlignment="1">
      <alignment horizontal="center"/>
    </xf>
    <xf numFmtId="2" fontId="40" fillId="2" borderId="0" xfId="0" applyNumberFormat="1" applyFont="1" applyFill="1" applyAlignment="1">
      <alignment horizontal="center"/>
    </xf>
    <xf numFmtId="0" fontId="29" fillId="5" borderId="0" xfId="0" applyFont="1" applyFill="1"/>
    <xf numFmtId="0" fontId="39" fillId="0" borderId="6" xfId="0" applyFont="1" applyBorder="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43" fillId="0" borderId="0" xfId="0" applyFont="1" applyAlignment="1">
      <alignment vertical="center"/>
    </xf>
    <xf numFmtId="0" fontId="44" fillId="0" borderId="0" xfId="0" applyFont="1" applyAlignment="1">
      <alignment vertical="center"/>
    </xf>
    <xf numFmtId="1" fontId="39" fillId="0" borderId="6" xfId="0" applyNumberFormat="1" applyFont="1" applyBorder="1" applyAlignment="1">
      <alignment horizontal="center" vertical="center"/>
    </xf>
    <xf numFmtId="2" fontId="33" fillId="0" borderId="0" xfId="0" applyNumberFormat="1" applyFont="1" applyAlignment="1">
      <alignment horizontal="center" vertical="center"/>
    </xf>
    <xf numFmtId="0" fontId="41" fillId="0" borderId="0" xfId="0" applyFont="1" applyAlignment="1">
      <alignment vertical="center"/>
    </xf>
    <xf numFmtId="165" fontId="33" fillId="0" borderId="0" xfId="0" applyNumberFormat="1" applyFont="1" applyAlignment="1">
      <alignment vertical="center"/>
    </xf>
    <xf numFmtId="0" fontId="33" fillId="0" borderId="0" xfId="0" applyFont="1" applyAlignment="1">
      <alignment horizontal="left" vertical="center"/>
    </xf>
    <xf numFmtId="0" fontId="39" fillId="0" borderId="6" xfId="0" applyFont="1" applyBorder="1" applyAlignment="1">
      <alignment horizontal="center" vertical="center"/>
    </xf>
    <xf numFmtId="2" fontId="39" fillId="0" borderId="6" xfId="0" applyNumberFormat="1" applyFont="1" applyBorder="1" applyAlignment="1">
      <alignment horizontal="center" vertical="center"/>
    </xf>
    <xf numFmtId="2" fontId="39" fillId="3" borderId="6" xfId="0" applyNumberFormat="1" applyFont="1" applyFill="1" applyBorder="1" applyAlignment="1">
      <alignment horizontal="center" vertical="center"/>
    </xf>
    <xf numFmtId="0" fontId="29"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35" fillId="0" borderId="0" xfId="0" applyFont="1" applyAlignment="1">
      <alignment vertical="center"/>
    </xf>
    <xf numFmtId="0" fontId="37" fillId="0" borderId="0" xfId="0" applyFont="1" applyAlignment="1">
      <alignment horizontal="left" vertical="center"/>
    </xf>
    <xf numFmtId="0" fontId="29" fillId="2" borderId="0" xfId="0" applyFont="1" applyFill="1" applyAlignment="1">
      <alignment vertical="center"/>
    </xf>
    <xf numFmtId="0" fontId="32" fillId="0" borderId="0" xfId="0" applyFont="1" applyAlignment="1">
      <alignment vertical="center"/>
    </xf>
    <xf numFmtId="0" fontId="29" fillId="0" borderId="0" xfId="0" applyFont="1" applyAlignment="1" applyProtection="1">
      <alignment vertical="center"/>
      <protection locked="0" hidden="1"/>
    </xf>
    <xf numFmtId="0" fontId="34" fillId="0" borderId="0" xfId="0" applyFont="1" applyAlignment="1" applyProtection="1">
      <alignment horizontal="left" vertical="center"/>
      <protection locked="0" hidden="1"/>
    </xf>
    <xf numFmtId="0" fontId="34" fillId="0" borderId="0" xfId="0" applyFont="1" applyAlignment="1" applyProtection="1">
      <alignment horizontal="center" vertical="center"/>
      <protection locked="0" hidden="1"/>
    </xf>
    <xf numFmtId="0" fontId="34" fillId="0" borderId="5" xfId="0" applyFont="1" applyBorder="1" applyAlignment="1" applyProtection="1">
      <alignment horizontal="left" vertical="center"/>
      <protection locked="0" hidden="1"/>
    </xf>
    <xf numFmtId="0" fontId="29" fillId="0" borderId="1" xfId="0" applyFont="1" applyBorder="1" applyAlignment="1" applyProtection="1">
      <alignment vertical="center"/>
      <protection locked="0" hidden="1"/>
    </xf>
    <xf numFmtId="0" fontId="29" fillId="0" borderId="2" xfId="0" applyFont="1" applyBorder="1" applyAlignment="1" applyProtection="1">
      <alignment vertical="center"/>
      <protection locked="0" hidden="1"/>
    </xf>
    <xf numFmtId="0" fontId="35" fillId="0" borderId="0" xfId="0" applyFont="1" applyAlignment="1" applyProtection="1">
      <alignment vertical="center"/>
      <protection locked="0" hidden="1"/>
    </xf>
    <xf numFmtId="0" fontId="35" fillId="0" borderId="3" xfId="0" applyFont="1" applyBorder="1" applyAlignment="1" applyProtection="1">
      <alignment vertical="center"/>
      <protection locked="0" hidden="1"/>
    </xf>
    <xf numFmtId="0" fontId="35" fillId="0" borderId="4" xfId="0" applyFont="1" applyBorder="1" applyAlignment="1" applyProtection="1">
      <alignment vertical="center"/>
      <protection locked="0" hidden="1"/>
    </xf>
    <xf numFmtId="2" fontId="35" fillId="0" borderId="3" xfId="0" applyNumberFormat="1" applyFont="1" applyBorder="1" applyAlignment="1" applyProtection="1">
      <alignment horizontal="left" vertical="center"/>
      <protection locked="0" hidden="1"/>
    </xf>
    <xf numFmtId="0" fontId="35" fillId="0" borderId="3" xfId="0" applyFont="1" applyBorder="1" applyAlignment="1" applyProtection="1">
      <alignment horizontal="left" vertical="center"/>
      <protection locked="0" hidden="1"/>
    </xf>
    <xf numFmtId="0" fontId="29" fillId="2" borderId="0" xfId="0" applyFont="1" applyFill="1" applyAlignment="1" applyProtection="1">
      <alignment vertical="center"/>
      <protection hidden="1"/>
    </xf>
    <xf numFmtId="0" fontId="34" fillId="2" borderId="0" xfId="0" applyFont="1" applyFill="1" applyAlignment="1" applyProtection="1">
      <alignment horizontal="left" vertical="center"/>
      <protection hidden="1"/>
    </xf>
    <xf numFmtId="0" fontId="34" fillId="2" borderId="0" xfId="0" applyFont="1" applyFill="1" applyAlignment="1" applyProtection="1">
      <alignment horizontal="center" vertical="center"/>
      <protection hidden="1"/>
    </xf>
    <xf numFmtId="0" fontId="36" fillId="0" borderId="0" xfId="0" applyFont="1" applyAlignment="1">
      <alignment vertical="center"/>
    </xf>
    <xf numFmtId="0" fontId="36" fillId="2" borderId="0" xfId="0" applyFont="1" applyFill="1" applyAlignment="1">
      <alignment vertical="center"/>
    </xf>
    <xf numFmtId="0" fontId="35" fillId="2" borderId="0" xfId="0" applyFont="1" applyFill="1" applyAlignment="1" applyProtection="1">
      <alignment vertical="center"/>
      <protection hidden="1"/>
    </xf>
    <xf numFmtId="2" fontId="35" fillId="2" borderId="0" xfId="0" applyNumberFormat="1" applyFont="1" applyFill="1" applyAlignment="1" applyProtection="1">
      <alignment horizontal="left" vertical="center"/>
      <protection hidden="1"/>
    </xf>
    <xf numFmtId="0" fontId="38" fillId="0" borderId="0" xfId="0" applyFont="1" applyAlignment="1">
      <alignment vertical="center"/>
    </xf>
    <xf numFmtId="0" fontId="35" fillId="2" borderId="0" xfId="0" applyFont="1" applyFill="1" applyAlignment="1">
      <alignment vertical="center"/>
    </xf>
    <xf numFmtId="0" fontId="29" fillId="0" borderId="3" xfId="0" applyFont="1" applyBorder="1" applyAlignment="1" applyProtection="1">
      <alignment vertical="center"/>
      <protection locked="0" hidden="1"/>
    </xf>
    <xf numFmtId="0" fontId="29" fillId="0" borderId="4" xfId="0" applyFont="1" applyBorder="1" applyAlignment="1" applyProtection="1">
      <alignment vertical="center"/>
      <protection locked="0" hidden="1"/>
    </xf>
    <xf numFmtId="165" fontId="40" fillId="2" borderId="0" xfId="0" applyNumberFormat="1" applyFont="1" applyFill="1" applyAlignment="1">
      <alignment horizontal="center" vertical="center"/>
    </xf>
    <xf numFmtId="165" fontId="40" fillId="0" borderId="0" xfId="0" applyNumberFormat="1" applyFont="1" applyAlignment="1">
      <alignment horizontal="center" vertical="center"/>
    </xf>
    <xf numFmtId="2" fontId="40" fillId="2" borderId="0" xfId="0" applyNumberFormat="1" applyFont="1" applyFill="1" applyAlignment="1">
      <alignment horizontal="center" vertical="center"/>
    </xf>
    <xf numFmtId="0" fontId="29" fillId="5" borderId="0" xfId="0" applyFont="1" applyFill="1" applyAlignment="1">
      <alignment vertical="center"/>
    </xf>
    <xf numFmtId="0" fontId="45" fillId="0" borderId="0" xfId="0" applyFont="1" applyAlignment="1" applyProtection="1">
      <alignment vertical="center"/>
      <protection locked="0" hidden="1"/>
    </xf>
    <xf numFmtId="0" fontId="45" fillId="0" borderId="1" xfId="0" applyFont="1" applyBorder="1" applyAlignment="1" applyProtection="1">
      <alignment vertical="center"/>
      <protection locked="0" hidden="1"/>
    </xf>
    <xf numFmtId="0" fontId="45" fillId="0" borderId="2" xfId="0" applyFont="1" applyBorder="1" applyAlignment="1" applyProtection="1">
      <alignment vertical="center"/>
      <protection locked="0" hidden="1"/>
    </xf>
    <xf numFmtId="0" fontId="46" fillId="0" borderId="0" xfId="0" applyFont="1" applyAlignment="1" applyProtection="1">
      <alignment vertical="center"/>
      <protection locked="0" hidden="1"/>
    </xf>
    <xf numFmtId="0" fontId="46" fillId="0" borderId="3" xfId="0" applyFont="1" applyBorder="1" applyAlignment="1" applyProtection="1">
      <alignment vertical="center"/>
      <protection locked="0" hidden="1"/>
    </xf>
    <xf numFmtId="0" fontId="46" fillId="0" borderId="4" xfId="0" applyFont="1" applyBorder="1" applyAlignment="1" applyProtection="1">
      <alignment vertical="center"/>
      <protection locked="0" hidden="1"/>
    </xf>
    <xf numFmtId="0" fontId="47" fillId="0" borderId="0" xfId="0" applyFont="1" applyAlignment="1" applyProtection="1">
      <alignment horizontal="left" vertical="center"/>
      <protection locked="0" hidden="1"/>
    </xf>
    <xf numFmtId="0" fontId="45" fillId="0" borderId="3" xfId="0" applyFont="1" applyBorder="1" applyAlignment="1" applyProtection="1">
      <alignment vertical="center"/>
      <protection locked="0" hidden="1"/>
    </xf>
    <xf numFmtId="0" fontId="45" fillId="0" borderId="4" xfId="0" applyFont="1" applyBorder="1" applyAlignment="1" applyProtection="1">
      <alignment vertical="center"/>
      <protection locked="0" hidden="1"/>
    </xf>
    <xf numFmtId="0" fontId="47" fillId="0" borderId="5" xfId="0" applyFont="1" applyBorder="1" applyAlignment="1" applyProtection="1">
      <alignment horizontal="left" vertical="center"/>
      <protection locked="0" hidden="1"/>
    </xf>
    <xf numFmtId="0" fontId="33" fillId="0" borderId="0" xfId="0" applyFont="1" applyAlignment="1">
      <alignment horizontal="left" vertical="center" wrapText="1" shrinkToFit="1"/>
    </xf>
    <xf numFmtId="0" fontId="39" fillId="0" borderId="0" xfId="0" applyFont="1" applyAlignment="1">
      <alignment horizontal="left" vertical="center" wrapText="1" shrinkToFit="1"/>
    </xf>
    <xf numFmtId="0" fontId="45" fillId="0" borderId="0" xfId="0" applyFont="1" applyAlignment="1">
      <alignment horizontal="left" vertical="center" wrapText="1" shrinkToFit="1"/>
    </xf>
    <xf numFmtId="0" fontId="33" fillId="0" borderId="0" xfId="0" applyFont="1" applyAlignment="1">
      <alignment vertical="center" wrapText="1" shrinkToFit="1"/>
    </xf>
    <xf numFmtId="0" fontId="33" fillId="2" borderId="0" xfId="0" applyFont="1" applyFill="1" applyAlignment="1">
      <alignment vertical="center" wrapText="1" shrinkToFit="1"/>
    </xf>
    <xf numFmtId="0" fontId="48" fillId="0" borderId="0" xfId="0" applyFont="1" applyAlignment="1">
      <alignment horizontal="left" vertical="center"/>
    </xf>
    <xf numFmtId="0" fontId="29" fillId="2" borderId="0" xfId="0" applyFont="1" applyFill="1" applyAlignment="1">
      <alignment vertical="center" wrapText="1"/>
    </xf>
    <xf numFmtId="0" fontId="34" fillId="0" borderId="0" xfId="0" applyFont="1" applyAlignment="1">
      <alignment horizontal="left" vertical="center"/>
    </xf>
    <xf numFmtId="0" fontId="34" fillId="0" borderId="0" xfId="0" applyFont="1" applyAlignment="1">
      <alignment horizontal="center" vertical="center"/>
    </xf>
    <xf numFmtId="0" fontId="34" fillId="0" borderId="5" xfId="0" applyFont="1" applyBorder="1" applyAlignment="1">
      <alignment horizontal="left" vertical="center"/>
    </xf>
    <xf numFmtId="0" fontId="29" fillId="0" borderId="1" xfId="0" applyFont="1" applyBorder="1" applyAlignment="1">
      <alignment vertical="center"/>
    </xf>
    <xf numFmtId="0" fontId="29" fillId="0" borderId="2" xfId="0" applyFont="1" applyBorder="1" applyAlignment="1">
      <alignment vertical="center"/>
    </xf>
    <xf numFmtId="0" fontId="35" fillId="0" borderId="0" xfId="0" applyFont="1" applyAlignment="1" applyProtection="1">
      <alignment vertical="center"/>
      <protection locked="0"/>
    </xf>
    <xf numFmtId="0" fontId="35" fillId="0" borderId="3" xfId="0" applyFont="1" applyBorder="1" applyAlignment="1">
      <alignment vertical="center"/>
    </xf>
    <xf numFmtId="0" fontId="35" fillId="0" borderId="4" xfId="0" applyFont="1" applyBorder="1" applyAlignment="1">
      <alignment vertical="center"/>
    </xf>
    <xf numFmtId="2" fontId="35" fillId="0" borderId="3" xfId="0" applyNumberFormat="1" applyFont="1" applyBorder="1" applyAlignment="1">
      <alignment horizontal="left" vertical="center"/>
    </xf>
    <xf numFmtId="0" fontId="35" fillId="0" borderId="3" xfId="0" applyFont="1" applyBorder="1" applyAlignment="1">
      <alignment horizontal="left" vertical="center"/>
    </xf>
    <xf numFmtId="0" fontId="34" fillId="2" borderId="0" xfId="0" applyFont="1" applyFill="1" applyAlignment="1">
      <alignment horizontal="left" vertical="center"/>
    </xf>
    <xf numFmtId="0" fontId="34" fillId="2" borderId="0" xfId="0" applyFont="1" applyFill="1" applyAlignment="1">
      <alignment horizontal="center" vertical="center"/>
    </xf>
    <xf numFmtId="2" fontId="35" fillId="2" borderId="0" xfId="0" applyNumberFormat="1" applyFont="1" applyFill="1" applyAlignment="1">
      <alignment horizontal="left" vertical="center"/>
    </xf>
    <xf numFmtId="0" fontId="29" fillId="0" borderId="0" xfId="0" applyFont="1" applyAlignment="1" applyProtection="1">
      <alignment vertical="center"/>
      <protection locked="0"/>
    </xf>
    <xf numFmtId="0" fontId="29" fillId="0" borderId="3" xfId="0" applyFont="1" applyBorder="1" applyAlignment="1">
      <alignment vertical="center"/>
    </xf>
    <xf numFmtId="0" fontId="29" fillId="0" borderId="4" xfId="0" applyFont="1" applyBorder="1" applyAlignment="1">
      <alignment vertical="center"/>
    </xf>
    <xf numFmtId="165" fontId="39" fillId="5" borderId="6" xfId="0" applyNumberFormat="1" applyFont="1" applyFill="1" applyBorder="1" applyAlignment="1" applyProtection="1">
      <alignment horizontal="center" vertical="center"/>
      <protection locked="0"/>
    </xf>
    <xf numFmtId="0" fontId="39" fillId="10" borderId="6" xfId="0" applyFont="1" applyFill="1" applyBorder="1" applyAlignment="1">
      <alignment vertical="center"/>
    </xf>
    <xf numFmtId="166" fontId="39" fillId="10" borderId="6" xfId="0" applyNumberFormat="1" applyFont="1" applyFill="1" applyBorder="1" applyAlignment="1">
      <alignment horizontal="center" vertical="center"/>
    </xf>
    <xf numFmtId="166" fontId="39" fillId="10" borderId="8" xfId="0" applyNumberFormat="1" applyFont="1" applyFill="1" applyBorder="1" applyAlignment="1">
      <alignment horizontal="center" vertical="center"/>
    </xf>
    <xf numFmtId="0" fontId="39" fillId="10" borderId="7" xfId="0" applyFont="1" applyFill="1" applyBorder="1" applyAlignment="1">
      <alignment vertical="center"/>
    </xf>
    <xf numFmtId="1" fontId="39" fillId="10" borderId="6" xfId="0" applyNumberFormat="1" applyFont="1" applyFill="1" applyBorder="1" applyAlignment="1">
      <alignment horizontal="center" vertical="center"/>
    </xf>
    <xf numFmtId="0" fontId="50" fillId="11" borderId="6" xfId="0" applyFont="1" applyFill="1" applyBorder="1" applyAlignment="1">
      <alignment vertical="center"/>
    </xf>
    <xf numFmtId="166" fontId="50" fillId="11" borderId="6" xfId="0" applyNumberFormat="1" applyFont="1" applyFill="1" applyBorder="1" applyAlignment="1">
      <alignment horizontal="center" vertical="center"/>
    </xf>
    <xf numFmtId="166" fontId="50" fillId="11" borderId="9" xfId="0" applyNumberFormat="1" applyFont="1" applyFill="1" applyBorder="1" applyAlignment="1">
      <alignment horizontal="center" vertical="center"/>
    </xf>
    <xf numFmtId="165" fontId="39" fillId="5" borderId="6" xfId="1" applyNumberFormat="1" applyFont="1" applyFill="1" applyBorder="1" applyAlignment="1" applyProtection="1">
      <alignment horizontal="center" vertical="center"/>
      <protection locked="0"/>
    </xf>
    <xf numFmtId="166" fontId="39" fillId="0" borderId="10" xfId="0" applyNumberFormat="1" applyFont="1" applyBorder="1" applyAlignment="1">
      <alignment horizontal="center" vertical="center"/>
    </xf>
    <xf numFmtId="166" fontId="50"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9" fillId="0" borderId="11" xfId="0" applyFont="1" applyBorder="1" applyAlignment="1">
      <alignment vertical="center"/>
    </xf>
    <xf numFmtId="165" fontId="39" fillId="0" borderId="11"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0" fillId="0" borderId="0" xfId="0"/>
    <xf numFmtId="0" fontId="19" fillId="0" borderId="0" xfId="0" applyFont="1" applyAlignment="1">
      <alignment horizontal="left" wrapText="1"/>
    </xf>
    <xf numFmtId="0" fontId="0" fillId="0" borderId="0" xfId="0" applyAlignment="1">
      <alignment wrapText="1"/>
    </xf>
    <xf numFmtId="0" fontId="14" fillId="0" borderId="0" xfId="0" applyFont="1" applyAlignment="1">
      <alignment horizontal="left" wrapText="1"/>
    </xf>
    <xf numFmtId="0" fontId="16" fillId="0" borderId="0" xfId="0" applyFont="1" applyAlignment="1">
      <alignment horizontal="center" vertical="center"/>
    </xf>
    <xf numFmtId="0" fontId="17" fillId="0" borderId="0" xfId="0" applyFont="1"/>
    <xf numFmtId="0" fontId="20" fillId="0" borderId="0" xfId="0" applyFont="1" applyAlignment="1">
      <alignment horizontal="left" vertical="center" wrapText="1" shrinkToFit="1"/>
    </xf>
    <xf numFmtId="0" fontId="0" fillId="0" borderId="0" xfId="0" applyAlignment="1">
      <alignment horizontal="left"/>
    </xf>
    <xf numFmtId="0" fontId="21" fillId="0" borderId="0" xfId="0" applyFont="1" applyAlignment="1">
      <alignment horizontal="center" vertical="center"/>
    </xf>
    <xf numFmtId="0" fontId="42" fillId="0" borderId="0" xfId="0" applyFont="1" applyAlignment="1">
      <alignment horizontal="center" wrapText="1"/>
    </xf>
    <xf numFmtId="0" fontId="42" fillId="0" borderId="0" xfId="0" applyFont="1" applyAlignment="1">
      <alignment horizontal="center" vertical="center" wrapText="1"/>
    </xf>
    <xf numFmtId="0" fontId="27" fillId="0" borderId="0" xfId="0" applyFont="1" applyAlignment="1">
      <alignment horizontal="center" wrapText="1"/>
    </xf>
    <xf numFmtId="0" fontId="30"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49" fillId="0" borderId="0" xfId="0" applyFont="1" applyAlignment="1">
      <alignment horizontal="center" vertical="center" wrapText="1"/>
    </xf>
    <xf numFmtId="0" fontId="0" fillId="0" borderId="0" xfId="0" applyAlignment="1">
      <alignment horizontal="center" vertical="center"/>
    </xf>
    <xf numFmtId="0" fontId="13" fillId="0" borderId="0" xfId="0" applyFont="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4D4D4D"/>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Style="combo" dx="22" fmlaLink="$I$19" fmlaRange="'Back-End'!$B$3:$B$5" sel="3" val="0"/>
</file>

<file path=xl/ctrlProps/ctrlProp10.xml><?xml version="1.0" encoding="utf-8"?>
<formControlPr xmlns="http://schemas.microsoft.com/office/spreadsheetml/2009/9/main" objectType="Drop" dropStyle="combo" dx="22" fmlaLink="$I$22" fmlaRange="'Back-End'!$E$39:$E$46" sel="5" val="0"/>
</file>

<file path=xl/ctrlProps/ctrlProp11.xml><?xml version="1.0" encoding="utf-8"?>
<formControlPr xmlns="http://schemas.microsoft.com/office/spreadsheetml/2009/9/main" objectType="Drop" dropStyle="combo" dx="22" fmlaLink="$I$19" fmlaRange="'Back-End'!$B$3:$B$5" sel="1" val="0"/>
</file>

<file path=xl/ctrlProps/ctrlProp12.xml><?xml version="1.0" encoding="utf-8"?>
<formControlPr xmlns="http://schemas.microsoft.com/office/spreadsheetml/2009/9/main" objectType="Drop" dropStyle="combo" dx="22" fmlaLink="$I$22" fmlaRange="'Back-End'!$E$22:$E$24" sel="1" val="0"/>
</file>

<file path=xl/ctrlProps/ctrlProp13.xml><?xml version="1.0" encoding="utf-8"?>
<formControlPr xmlns="http://schemas.microsoft.com/office/spreadsheetml/2009/9/main" objectType="Drop" dropLines="18" dropStyle="combo" dx="22" fmlaLink="$I$12" fmlaRange="'Back-End'!$B$143:$B$166" sel="1" val="0"/>
</file>

<file path=xl/ctrlProps/ctrlProp14.xml><?xml version="1.0" encoding="utf-8"?>
<formControlPr xmlns="http://schemas.microsoft.com/office/spreadsheetml/2009/9/main" objectType="Drop" dropLines="18" dropStyle="combo" dx="22" fmlaLink="$I$9" fmlaRange="'Back-End'!$B$119:$B$128" sel="1" val="0"/>
</file>

<file path=xl/ctrlProps/ctrlProp15.xml><?xml version="1.0" encoding="utf-8"?>
<formControlPr xmlns="http://schemas.microsoft.com/office/spreadsheetml/2009/9/main" objectType="Drop" dropStyle="combo" dx="22" fmlaLink="$I$15" fmlaRange="'Back-End'!$E$119:$E$127" sel="1" val="0"/>
</file>

<file path=xl/ctrlProps/ctrlProp16.xml><?xml version="1.0" encoding="utf-8"?>
<formControlPr xmlns="http://schemas.microsoft.com/office/spreadsheetml/2009/9/main" objectType="Drop" dropLines="18" dropStyle="combo" dx="22" fmlaLink="$I$12" fmlaRange="'Back-End'!$B$143:$B$166" sel="1" val="0"/>
</file>

<file path=xl/ctrlProps/ctrlProp17.xml><?xml version="1.0" encoding="utf-8"?>
<formControlPr xmlns="http://schemas.microsoft.com/office/spreadsheetml/2009/9/main" objectType="Drop" dropLines="18" dropStyle="combo" dx="22" fmlaLink="$I$9" fmlaRange="'Back-End'!$B$119:$B$138" sel="1" val="0"/>
</file>

<file path=xl/ctrlProps/ctrlProp18.xml><?xml version="1.0" encoding="utf-8"?>
<formControlPr xmlns="http://schemas.microsoft.com/office/spreadsheetml/2009/9/main" objectType="Drop" dropStyle="combo" dx="22" fmlaLink="$I$15" fmlaRange="'Back-End'!$E$119:$E$127" sel="1" val="0"/>
</file>

<file path=xl/ctrlProps/ctrlProp19.xml><?xml version="1.0" encoding="utf-8"?>
<formControlPr xmlns="http://schemas.microsoft.com/office/spreadsheetml/2009/9/main" objectType="Drop" dropStyle="combo" dx="22" fmlaLink="$I$19" fmlaRange="'Back-End'!$B$39:$B$41" sel="1" val="0"/>
</file>

<file path=xl/ctrlProps/ctrlProp2.xml><?xml version="1.0" encoding="utf-8"?>
<formControlPr xmlns="http://schemas.microsoft.com/office/spreadsheetml/2009/9/main" objectType="Drop" dropStyle="combo" dx="22" fmlaLink="$I$22" fmlaRange="'Back-End'!$E$3:$E$7" sel="5" val="0"/>
</file>

<file path=xl/ctrlProps/ctrlProp20.xml><?xml version="1.0" encoding="utf-8"?>
<formControlPr xmlns="http://schemas.microsoft.com/office/spreadsheetml/2009/9/main" objectType="Drop" dropStyle="combo" dx="22" fmlaLink="$I$22" fmlaRange="'Back-End'!$E$39:$E$46" sel="1" val="0"/>
</file>

<file path=xl/ctrlProps/ctrlProp21.xml><?xml version="1.0" encoding="utf-8"?>
<formControlPr xmlns="http://schemas.microsoft.com/office/spreadsheetml/2009/9/main" objectType="Drop" dropLines="18" dropStyle="combo" dx="22" fmlaLink="$I$12" fmlaRange="'Back-End'!$B$143:$B$166" sel="1" val="0"/>
</file>

<file path=xl/ctrlProps/ctrlProp22.xml><?xml version="1.0" encoding="utf-8"?>
<formControlPr xmlns="http://schemas.microsoft.com/office/spreadsheetml/2009/9/main" objectType="Drop" dropLines="18" dropStyle="combo" dx="22" fmlaLink="$I$9" fmlaRange="'Back-End'!$B$119:$B$138" sel="1" val="0"/>
</file>

<file path=xl/ctrlProps/ctrlProp23.xml><?xml version="1.0" encoding="utf-8"?>
<formControlPr xmlns="http://schemas.microsoft.com/office/spreadsheetml/2009/9/main" objectType="Drop" dropStyle="combo" dx="22" fmlaLink="$I$15" fmlaRange="'Back-End'!$E$119:$E$127" sel="1" val="0"/>
</file>

<file path=xl/ctrlProps/ctrlProp24.xml><?xml version="1.0" encoding="utf-8"?>
<formControlPr xmlns="http://schemas.microsoft.com/office/spreadsheetml/2009/9/main" objectType="Drop" dropStyle="combo" dx="22" fmlaLink="$I$19" fmlaRange="'Back-End'!$B$39:$B$41" sel="1" val="0"/>
</file>

<file path=xl/ctrlProps/ctrlProp25.xml><?xml version="1.0" encoding="utf-8"?>
<formControlPr xmlns="http://schemas.microsoft.com/office/spreadsheetml/2009/9/main" objectType="Drop" dropStyle="combo" dx="22" fmlaLink="$I$22" fmlaRange="'Back-End'!$E$39:$E$46" sel="1" val="0"/>
</file>

<file path=xl/ctrlProps/ctrlProp26.xml><?xml version="1.0" encoding="utf-8"?>
<formControlPr xmlns="http://schemas.microsoft.com/office/spreadsheetml/2009/9/main" objectType="Drop" dropLines="18" dropStyle="combo" dx="22" fmlaLink="$I$12" fmlaRange="'Back-End'!$B$143:$B$166" sel="1" val="0"/>
</file>

<file path=xl/ctrlProps/ctrlProp27.xml><?xml version="1.0" encoding="utf-8"?>
<formControlPr xmlns="http://schemas.microsoft.com/office/spreadsheetml/2009/9/main" objectType="Drop" dropLines="18" dropStyle="combo" dx="22" fmlaLink="$I$9" fmlaRange="'Back-End'!$B$119:$B$128" sel="1" val="0"/>
</file>

<file path=xl/ctrlProps/ctrlProp28.xml><?xml version="1.0" encoding="utf-8"?>
<formControlPr xmlns="http://schemas.microsoft.com/office/spreadsheetml/2009/9/main" objectType="Drop" dropStyle="combo" dx="22" fmlaLink="$I$15" fmlaRange="'Back-End'!$E$119:$E$127" sel="1" val="0"/>
</file>

<file path=xl/ctrlProps/ctrlProp29.xml><?xml version="1.0" encoding="utf-8"?>
<formControlPr xmlns="http://schemas.microsoft.com/office/spreadsheetml/2009/9/main" objectType="Drop" dropStyle="combo" dx="22" fmlaLink="$I$19" fmlaRange="'Back-End'!$B$39:$B$41" sel="3" val="0"/>
</file>

<file path=xl/ctrlProps/ctrlProp3.xml><?xml version="1.0" encoding="utf-8"?>
<formControlPr xmlns="http://schemas.microsoft.com/office/spreadsheetml/2009/9/main" objectType="Drop" dropLines="18" dropStyle="combo" dx="22" fmlaLink="$I$12" fmlaRange="'Back-End'!$B$143:$B$166" sel="3" val="0"/>
</file>

<file path=xl/ctrlProps/ctrlProp30.xml><?xml version="1.0" encoding="utf-8"?>
<formControlPr xmlns="http://schemas.microsoft.com/office/spreadsheetml/2009/9/main" objectType="Drop" dropStyle="combo" dx="22" fmlaLink="$I$22" fmlaRange="'Back-End'!$E$39:$E$46" sel="3" val="0"/>
</file>

<file path=xl/ctrlProps/ctrlProp31.xml><?xml version="1.0" encoding="utf-8"?>
<formControlPr xmlns="http://schemas.microsoft.com/office/spreadsheetml/2009/9/main" objectType="Drop" dropLines="18" dropStyle="combo" dx="22" fmlaLink="$I$12" fmlaRange="'Back-End'!$B$143:$B$166" sel="4" val="2"/>
</file>

<file path=xl/ctrlProps/ctrlProp32.xml><?xml version="1.0" encoding="utf-8"?>
<formControlPr xmlns="http://schemas.microsoft.com/office/spreadsheetml/2009/9/main" objectType="Drop" dropLines="18" dropStyle="combo" dx="22" fmlaLink="$I$9" fmlaRange="'Back-End'!$B$119:$B$138" sel="13" val="2"/>
</file>

<file path=xl/ctrlProps/ctrlProp33.xml><?xml version="1.0" encoding="utf-8"?>
<formControlPr xmlns="http://schemas.microsoft.com/office/spreadsheetml/2009/9/main" objectType="Drop" dropStyle="combo" dx="22" fmlaLink="$I$15" fmlaRange="'Back-End'!$E$119:$E$127" sel="9" val="0"/>
</file>

<file path=xl/ctrlProps/ctrlProp34.xml><?xml version="1.0" encoding="utf-8"?>
<formControlPr xmlns="http://schemas.microsoft.com/office/spreadsheetml/2009/9/main" objectType="Drop" dropStyle="combo" dx="22" fmlaLink="$I$19" fmlaRange="'Back-End'!$B$66:$B$68" sel="2" val="0"/>
</file>

<file path=xl/ctrlProps/ctrlProp35.xml><?xml version="1.0" encoding="utf-8"?>
<formControlPr xmlns="http://schemas.microsoft.com/office/spreadsheetml/2009/9/main" objectType="Drop" dropStyle="combo" dx="22" fmlaLink="$I$22" fmlaRange="'Back-End'!$E$66:$E$71" sel="2" val="0"/>
</file>

<file path=xl/ctrlProps/ctrlProp36.xml><?xml version="1.0" encoding="utf-8"?>
<formControlPr xmlns="http://schemas.microsoft.com/office/spreadsheetml/2009/9/main" objectType="Drop" dropLines="18" dropStyle="combo" dx="22" fmlaLink="$I$9" fmlaRange="'Back-End'!$B$119:$B$132" sel="10" val="0"/>
</file>

<file path=xl/ctrlProps/ctrlProp37.xml><?xml version="1.0" encoding="utf-8"?>
<formControlPr xmlns="http://schemas.microsoft.com/office/spreadsheetml/2009/9/main" objectType="Drop" dropStyle="combo" dx="22" fmlaLink="$I$15" fmlaRange="'Back-End'!$E$119:$E$127" sel="7" val="0"/>
</file>

<file path=xl/ctrlProps/ctrlProp38.xml><?xml version="1.0" encoding="utf-8"?>
<formControlPr xmlns="http://schemas.microsoft.com/office/spreadsheetml/2009/9/main" objectType="Drop" dropStyle="combo" dx="22" fmlaLink="$I$19" fmlaRange="'Back-End'!$B$85:$B$87" sel="1" val="0"/>
</file>

<file path=xl/ctrlProps/ctrlProp39.xml><?xml version="1.0" encoding="utf-8"?>
<formControlPr xmlns="http://schemas.microsoft.com/office/spreadsheetml/2009/9/main" objectType="Drop" dropStyle="combo" dx="22" fmlaLink="$I$22" fmlaRange="'Back-End'!$E$85:$E$90" sel="2" val="0"/>
</file>

<file path=xl/ctrlProps/ctrlProp4.xml><?xml version="1.0" encoding="utf-8"?>
<formControlPr xmlns="http://schemas.microsoft.com/office/spreadsheetml/2009/9/main" objectType="Drop" dropLines="18" dropStyle="combo" dx="22" fmlaLink="$I$9" fmlaRange="'Back-End'!$B$119:$B$138" sel="14" val="2"/>
</file>

<file path=xl/ctrlProps/ctrlProp40.xml><?xml version="1.0" encoding="utf-8"?>
<formControlPr xmlns="http://schemas.microsoft.com/office/spreadsheetml/2009/9/main" objectType="Drop" dropLines="18" dropStyle="combo" dx="22" fmlaLink="$I$12" fmlaRange="'Back-End'!$B$143:$B$166" sel="4" val="2"/>
</file>

<file path=xl/ctrlProps/ctrlProp41.xml><?xml version="1.0" encoding="utf-8"?>
<formControlPr xmlns="http://schemas.microsoft.com/office/spreadsheetml/2009/9/main" objectType="Drop" dropLines="18" dropStyle="combo" dx="22" fmlaLink="$I$12" fmlaRange="'Back-End'!$B$143:$B$166" sel="1" val="0"/>
</file>

<file path=xl/ctrlProps/ctrlProp42.xml><?xml version="1.0" encoding="utf-8"?>
<formControlPr xmlns="http://schemas.microsoft.com/office/spreadsheetml/2009/9/main" objectType="Drop" dropLines="18" dropStyle="combo" dx="22" fmlaLink="$I$9" fmlaRange="'Back-End'!$B$119:$B$132" sel="1" val="0"/>
</file>

<file path=xl/ctrlProps/ctrlProp43.xml><?xml version="1.0" encoding="utf-8"?>
<formControlPr xmlns="http://schemas.microsoft.com/office/spreadsheetml/2009/9/main" objectType="Drop" dropStyle="combo" dx="22" fmlaLink="$I$15" fmlaRange="'Back-End'!$E$119:$E$127" sel="1" val="0"/>
</file>

<file path=xl/ctrlProps/ctrlProp44.xml><?xml version="1.0" encoding="utf-8"?>
<formControlPr xmlns="http://schemas.microsoft.com/office/spreadsheetml/2009/9/main" objectType="Drop" dropStyle="combo" dx="22" fmlaLink="$I$19" fmlaRange="'Back-End'!$B$85:$B$87" sel="1" val="0"/>
</file>

<file path=xl/ctrlProps/ctrlProp45.xml><?xml version="1.0" encoding="utf-8"?>
<formControlPr xmlns="http://schemas.microsoft.com/office/spreadsheetml/2009/9/main" objectType="Drop" dropStyle="combo" dx="22" fmlaLink="$I$22" fmlaRange="'Back-End'!$E$85:$E$90" sel="1" val="0"/>
</file>

<file path=xl/ctrlProps/ctrlProp46.xml><?xml version="1.0" encoding="utf-8"?>
<formControlPr xmlns="http://schemas.microsoft.com/office/spreadsheetml/2009/9/main" objectType="Drop" dropLines="18" dropStyle="combo" dx="22" fmlaLink="$I$9" fmlaRange="'Back-End'!$B$119:$B$132" sel="1" val="0"/>
</file>

<file path=xl/ctrlProps/ctrlProp47.xml><?xml version="1.0" encoding="utf-8"?>
<formControlPr xmlns="http://schemas.microsoft.com/office/spreadsheetml/2009/9/main" objectType="Drop" dropStyle="combo" dx="22" fmlaLink="$I$15" fmlaRange="'Back-End'!$E$119:$E$127" sel="1" val="0"/>
</file>

<file path=xl/ctrlProps/ctrlProp48.xml><?xml version="1.0" encoding="utf-8"?>
<formControlPr xmlns="http://schemas.microsoft.com/office/spreadsheetml/2009/9/main" objectType="Drop" dropStyle="combo" dx="22" fmlaLink="$I$19" fmlaRange="'Back-End'!$B$85:$B$87" sel="3" val="0"/>
</file>

<file path=xl/ctrlProps/ctrlProp49.xml><?xml version="1.0" encoding="utf-8"?>
<formControlPr xmlns="http://schemas.microsoft.com/office/spreadsheetml/2009/9/main" objectType="Drop" dropStyle="combo" dx="22" fmlaLink="$I$22" fmlaRange="'Back-End'!$E$85:$E$90" sel="6" val="0"/>
</file>

<file path=xl/ctrlProps/ctrlProp5.xml><?xml version="1.0" encoding="utf-8"?>
<formControlPr xmlns="http://schemas.microsoft.com/office/spreadsheetml/2009/9/main" objectType="Drop" dropStyle="combo" dx="22" fmlaLink="$I$15" fmlaRange="'Back-End'!$E$119:$E$127" sel="5" val="0"/>
</file>

<file path=xl/ctrlProps/ctrlProp50.xml><?xml version="1.0" encoding="utf-8"?>
<formControlPr xmlns="http://schemas.microsoft.com/office/spreadsheetml/2009/9/main" objectType="Drop" dropLines="18" dropStyle="combo" dx="22" fmlaLink="$I$12" fmlaRange="'Back-End'!$B$143:$B$166" sel="3" val="0"/>
</file>

<file path=xl/ctrlProps/ctrlProp6.xml><?xml version="1.0" encoding="utf-8"?>
<formControlPr xmlns="http://schemas.microsoft.com/office/spreadsheetml/2009/9/main" objectType="Drop" dropLines="18" dropStyle="combo" dx="22" fmlaLink="$I$12" fmlaRange="'Back-End'!$B$143:$B$166" sel="4" val="3"/>
</file>

<file path=xl/ctrlProps/ctrlProp7.xml><?xml version="1.0" encoding="utf-8"?>
<formControlPr xmlns="http://schemas.microsoft.com/office/spreadsheetml/2009/9/main" objectType="Drop" dropLines="18" dropStyle="combo" dx="22" fmlaLink="$I$9" fmlaRange="'Back-End'!$B$119:$B$138" sel="1" val="0"/>
</file>

<file path=xl/ctrlProps/ctrlProp8.xml><?xml version="1.0" encoding="utf-8"?>
<formControlPr xmlns="http://schemas.microsoft.com/office/spreadsheetml/2009/9/main" objectType="Drop" dropStyle="combo" dx="22" fmlaLink="$I$15" fmlaRange="'Back-End'!$E$119:$E$127" sel="1" val="0"/>
</file>

<file path=xl/ctrlProps/ctrlProp9.xml><?xml version="1.0" encoding="utf-8"?>
<formControlPr xmlns="http://schemas.microsoft.com/office/spreadsheetml/2009/9/main" objectType="Drop" dropStyle="combo" dx="22" fmlaLink="$I$19" fmlaRange="'Back-End'!$B$39:$B$41" sel="3"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25.png"/><Relationship Id="rId4"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7.jpeg"/><Relationship Id="rId5" Type="http://schemas.microsoft.com/office/2007/relationships/hdphoto" Target="../media/hdphoto4.wdp"/><Relationship Id="rId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7.jpe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7.jpeg"/><Relationship Id="rId5" Type="http://schemas.microsoft.com/office/2007/relationships/hdphoto" Target="../media/hdphoto2.wdp"/><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7.jpeg"/><Relationship Id="rId5" Type="http://schemas.openxmlformats.org/officeDocument/2006/relationships/image" Target="../media/image19.png"/><Relationship Id="rId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12.png"/><Relationship Id="rId4"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7.jpeg"/><Relationship Id="rId1" Type="http://schemas.openxmlformats.org/officeDocument/2006/relationships/image" Target="../media/image22.png"/><Relationship Id="rId5" Type="http://schemas.openxmlformats.org/officeDocument/2006/relationships/image" Target="../media/image23.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7.jpeg"/><Relationship Id="rId4" Type="http://schemas.openxmlformats.org/officeDocument/2006/relationships/image" Target="../media/image26.png"/></Relationships>
</file>

<file path=xl/drawings/_rels/drawing9.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7.jpeg"/><Relationship Id="rId5" Type="http://schemas.microsoft.com/office/2007/relationships/hdphoto" Target="../media/hdphoto3.wdp"/><Relationship Id="rId4"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18</xdr:row>
      <xdr:rowOff>73214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9182100" cy="5883464"/>
        </a:xfrm>
        <a:prstGeom prst="rect">
          <a:avLst/>
        </a:prstGeom>
      </xdr:spPr>
    </xdr:pic>
    <xdr:clientData/>
  </xdr:twoCellAnchor>
  <xdr:twoCellAnchor>
    <xdr:from>
      <xdr:col>2</xdr:col>
      <xdr:colOff>209550</xdr:colOff>
      <xdr:row>3</xdr:row>
      <xdr:rowOff>323850</xdr:rowOff>
    </xdr:from>
    <xdr:to>
      <xdr:col>12</xdr:col>
      <xdr:colOff>314325</xdr:colOff>
      <xdr:row>5</xdr:row>
      <xdr:rowOff>1279536</xdr:rowOff>
    </xdr:to>
    <xdr:sp macro="" textlink="">
      <xdr:nvSpPr>
        <xdr:cNvPr id="9234" name="Text Box 18">
          <a:extLst>
            <a:ext uri="{FF2B5EF4-FFF2-40B4-BE49-F238E27FC236}">
              <a16:creationId xmlns:a16="http://schemas.microsoft.com/office/drawing/2014/main" id="{00000000-0008-0000-0000-000012240000}"/>
            </a:ext>
          </a:extLst>
        </xdr:cNvPr>
        <xdr:cNvSpPr txBox="1">
          <a:spLocks noChangeArrowheads="1"/>
        </xdr:cNvSpPr>
      </xdr:nvSpPr>
      <xdr:spPr bwMode="auto">
        <a:xfrm>
          <a:off x="1038225" y="1152525"/>
          <a:ext cx="7239000" cy="1793886"/>
        </a:xfrm>
        <a:prstGeom prst="rect">
          <a:avLst/>
        </a:prstGeom>
        <a:noFill/>
        <a:ln w="9525">
          <a:noFill/>
          <a:miter lim="800000"/>
          <a:headEnd/>
          <a:tailEnd/>
        </a:ln>
      </xdr:spPr>
      <xdr:txBody>
        <a:bodyPr vertOverflow="clip" wrap="square" lIns="36576" tIns="32004" rIns="0" bIns="0" anchor="t" upright="1"/>
        <a:lstStyle/>
        <a:p>
          <a:pPr algn="l" rtl="0">
            <a:defRPr sz="1000"/>
          </a:pPr>
          <a:r>
            <a:rPr lang="en-AU" sz="1400" b="1" i="0" u="none" strike="noStrike" baseline="0">
              <a:solidFill>
                <a:srgbClr val="000000"/>
              </a:solidFill>
              <a:latin typeface="Poppins" panose="00000500000000000000" pitchFamily="2" charset="0"/>
              <a:cs typeface="Poppins" panose="00000500000000000000" pitchFamily="2" charset="0"/>
            </a:rPr>
            <a:t>Instructions</a:t>
          </a:r>
          <a:endParaRPr lang="en-AU" sz="1100" b="0" i="0" u="none" strike="noStrike" baseline="0">
            <a:solidFill>
              <a:srgbClr val="000000"/>
            </a:solidFill>
            <a:latin typeface="Poppins" panose="00000500000000000000" pitchFamily="2" charset="0"/>
            <a:cs typeface="Poppins" panose="00000500000000000000" pitchFamily="2" charset="0"/>
          </a:endParaRPr>
        </a:p>
        <a:p>
          <a:pPr algn="l" rtl="0">
            <a:defRPr sz="1000"/>
          </a:pPr>
          <a:r>
            <a:rPr lang="en-AU" sz="1100" b="0" i="0" u="none" strike="noStrike" baseline="0">
              <a:solidFill>
                <a:srgbClr val="000000"/>
              </a:solidFill>
              <a:latin typeface="Poppins" panose="00000500000000000000" pitchFamily="2" charset="0"/>
              <a:cs typeface="Poppins" panose="00000500000000000000" pitchFamily="2" charset="0"/>
            </a:rPr>
            <a:t>Select a printer series from the tabs below. </a:t>
          </a:r>
        </a:p>
        <a:p>
          <a:pPr algn="l" rtl="0">
            <a:defRPr sz="1000"/>
          </a:pPr>
          <a:endParaRPr lang="en-AU" sz="1100" b="0" i="0" u="none" strike="noStrike" baseline="0">
            <a:solidFill>
              <a:srgbClr val="000000"/>
            </a:solidFill>
            <a:latin typeface="Poppins" panose="00000500000000000000" pitchFamily="2" charset="0"/>
            <a:cs typeface="Poppins" panose="00000500000000000000" pitchFamily="2" charset="0"/>
          </a:endParaRPr>
        </a:p>
        <a:p>
          <a:pPr algn="l" rtl="0">
            <a:defRPr sz="1000"/>
          </a:pPr>
          <a:r>
            <a:rPr lang="en-AU" sz="1100" b="0" i="0" u="none" strike="noStrike" baseline="0">
              <a:solidFill>
                <a:srgbClr val="000000"/>
              </a:solidFill>
              <a:latin typeface="Poppins" panose="00000500000000000000" pitchFamily="2" charset="0"/>
              <a:cs typeface="Poppins" panose="00000500000000000000" pitchFamily="2" charset="0"/>
            </a:rPr>
            <a:t>Within each sheet, please choose a representative image and appropriate media type. Proceed to input the required fields (white cells). Based on your inputs, each worksheet will calculate Cost Per Print and Cost Per Square Metre Analysis (dark grey cells). </a:t>
          </a:r>
        </a:p>
        <a:p>
          <a:pPr algn="l" rtl="0">
            <a:defRPr sz="1000"/>
          </a:pPr>
          <a:endParaRPr lang="en-AU" sz="1100" b="0" i="0" u="none" strike="noStrike" baseline="0">
            <a:solidFill>
              <a:srgbClr val="000000"/>
            </a:solidFill>
            <a:latin typeface="Poppins" panose="00000500000000000000" pitchFamily="2" charset="0"/>
            <a:cs typeface="Poppins" panose="00000500000000000000" pitchFamily="2" charset="0"/>
          </a:endParaRPr>
        </a:p>
        <a:p>
          <a:pPr algn="l" rtl="0">
            <a:defRPr sz="1000"/>
          </a:pPr>
          <a:r>
            <a:rPr lang="en-AU" sz="1100" b="0" i="0" u="none" strike="noStrike" baseline="0">
              <a:solidFill>
                <a:srgbClr val="000000"/>
              </a:solidFill>
              <a:latin typeface="Poppins" panose="00000500000000000000" pitchFamily="2" charset="0"/>
              <a:cs typeface="Poppins" panose="00000500000000000000" pitchFamily="2" charset="0"/>
            </a:rPr>
            <a:t>Note: Only input numerical values and decimals if necessary. Please do not input symbols such as "$" </a:t>
          </a:r>
        </a:p>
      </xdr:txBody>
    </xdr:sp>
    <xdr:clientData/>
  </xdr:twoCellAnchor>
  <xdr:twoCellAnchor>
    <xdr:from>
      <xdr:col>0</xdr:col>
      <xdr:colOff>92075</xdr:colOff>
      <xdr:row>0</xdr:row>
      <xdr:rowOff>76200</xdr:rowOff>
    </xdr:from>
    <xdr:to>
      <xdr:col>10</xdr:col>
      <xdr:colOff>466732</xdr:colOff>
      <xdr:row>2</xdr:row>
      <xdr:rowOff>76200</xdr:rowOff>
    </xdr:to>
    <xdr:sp macro="" textlink="">
      <xdr:nvSpPr>
        <xdr:cNvPr id="9235" name="Text Box 19">
          <a:extLst>
            <a:ext uri="{FF2B5EF4-FFF2-40B4-BE49-F238E27FC236}">
              <a16:creationId xmlns:a16="http://schemas.microsoft.com/office/drawing/2014/main" id="{00000000-0008-0000-0000-000013240000}"/>
            </a:ext>
          </a:extLst>
        </xdr:cNvPr>
        <xdr:cNvSpPr txBox="1">
          <a:spLocks noChangeArrowheads="1"/>
        </xdr:cNvSpPr>
      </xdr:nvSpPr>
      <xdr:spPr bwMode="auto">
        <a:xfrm>
          <a:off x="92075" y="76200"/>
          <a:ext cx="7118357" cy="5143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xdr:twoCellAnchor>
    <xdr:from>
      <xdr:col>3</xdr:col>
      <xdr:colOff>57150</xdr:colOff>
      <xdr:row>15</xdr:row>
      <xdr:rowOff>57150</xdr:rowOff>
    </xdr:from>
    <xdr:to>
      <xdr:col>10</xdr:col>
      <xdr:colOff>498652</xdr:colOff>
      <xdr:row>18</xdr:row>
      <xdr:rowOff>105820</xdr:rowOff>
    </xdr:to>
    <xdr:sp macro="" textlink="">
      <xdr:nvSpPr>
        <xdr:cNvPr id="11" name="TextBox 15">
          <a:extLst>
            <a:ext uri="{FF2B5EF4-FFF2-40B4-BE49-F238E27FC236}">
              <a16:creationId xmlns:a16="http://schemas.microsoft.com/office/drawing/2014/main" id="{00000000-0008-0000-0000-00000B000000}"/>
            </a:ext>
          </a:extLst>
        </xdr:cNvPr>
        <xdr:cNvSpPr txBox="1"/>
      </xdr:nvSpPr>
      <xdr:spPr>
        <a:xfrm>
          <a:off x="1733550" y="5295900"/>
          <a:ext cx="5508802" cy="62017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50000"/>
            </a:lnSpc>
            <a:buClr>
              <a:srgbClr val="EE8736"/>
            </a:buClr>
            <a:buSzPct val="150000"/>
          </a:pPr>
          <a:r>
            <a:rPr lang="en-AU" sz="1200" b="1">
              <a:solidFill>
                <a:srgbClr val="C00000"/>
              </a:solidFill>
              <a:latin typeface="Poppins" panose="00000500000000000000" pitchFamily="2" charset="0"/>
              <a:ea typeface="Arial" charset="0"/>
              <a:cs typeface="Poppins" panose="00000500000000000000" pitchFamily="2" charset="0"/>
            </a:rPr>
            <a:t>Calculator NOT to be sent to end users</a:t>
          </a:r>
        </a:p>
        <a:p>
          <a:pPr algn="ctr">
            <a:lnSpc>
              <a:spcPct val="150000"/>
            </a:lnSpc>
            <a:buClr>
              <a:srgbClr val="EE8736"/>
            </a:buClr>
            <a:buSzPct val="150000"/>
          </a:pPr>
          <a:r>
            <a:rPr lang="en-AU" sz="1200" b="1">
              <a:solidFill>
                <a:srgbClr val="C00000"/>
              </a:solidFill>
              <a:latin typeface="Poppins" panose="00000500000000000000" pitchFamily="2" charset="0"/>
              <a:cs typeface="Poppins" panose="00000500000000000000" pitchFamily="2" charset="0"/>
            </a:rPr>
            <a:t>ONLY to be used by authorised Alloys resellers</a:t>
          </a:r>
        </a:p>
      </xdr:txBody>
    </xdr:sp>
    <xdr:clientData/>
  </xdr:twoCellAnchor>
  <xdr:twoCellAnchor>
    <xdr:from>
      <xdr:col>14</xdr:col>
      <xdr:colOff>133350</xdr:colOff>
      <xdr:row>0</xdr:row>
      <xdr:rowOff>127000</xdr:rowOff>
    </xdr:from>
    <xdr:to>
      <xdr:col>18</xdr:col>
      <xdr:colOff>295276</xdr:colOff>
      <xdr:row>14</xdr:row>
      <xdr:rowOff>114300</xdr:rowOff>
    </xdr:to>
    <xdr:sp macro="" textlink="">
      <xdr:nvSpPr>
        <xdr:cNvPr id="7" name="Text Box 20">
          <a:extLst>
            <a:ext uri="{FF2B5EF4-FFF2-40B4-BE49-F238E27FC236}">
              <a16:creationId xmlns:a16="http://schemas.microsoft.com/office/drawing/2014/main" id="{00000000-0008-0000-0000-000007000000}"/>
            </a:ext>
          </a:extLst>
        </xdr:cNvPr>
        <xdr:cNvSpPr txBox="1">
          <a:spLocks noChangeArrowheads="1"/>
        </xdr:cNvSpPr>
      </xdr:nvSpPr>
      <xdr:spPr bwMode="auto">
        <a:xfrm>
          <a:off x="9315450" y="127000"/>
          <a:ext cx="2600326" cy="5035550"/>
        </a:xfrm>
        <a:prstGeom prst="rect">
          <a:avLst/>
        </a:prstGeom>
        <a:noFill/>
        <a:ln w="9525">
          <a:noFill/>
          <a:miter lim="800000"/>
          <a:headEnd/>
          <a:tailEnd/>
        </a:ln>
      </xdr:spPr>
      <xdr:txBody>
        <a:bodyPr vertOverflow="clip" wrap="square" lIns="27432" tIns="22860" rIns="0" bIns="0" anchor="t" upright="1"/>
        <a:lstStyle/>
        <a:p>
          <a:pPr algn="l" rtl="0">
            <a:defRPr sz="1000"/>
          </a:pPr>
          <a:r>
            <a:rPr lang="en-AU" sz="1050" b="0" i="0" u="none" strike="noStrike" baseline="0">
              <a:solidFill>
                <a:srgbClr val="000000"/>
              </a:solidFill>
              <a:latin typeface="Poppins" panose="00000500000000000000" pitchFamily="2" charset="0"/>
              <a:cs typeface="Poppins" panose="00000500000000000000" pitchFamily="2" charset="0"/>
            </a:rPr>
            <a:t>The ink cost analysis is based on ink usage amount reported from the job log function of the printer, using the specified type of paper and print mode with the printer driver under specific conditions. The media cost analysis is based on square metres from the size of the paper using roll feed paper. The total cost is a sum of the ink cost and the media cost including any waste to output one complete print, and does not include the cost of other customer replaceable items such as a print head, a cutter and a maintenance cartridge. The average prints/ink set represents the average number of prints that can be printed with a set of ink cartridges. All cost information are estimates. The result of this analysis may not be exact and is not guaranteed, and therefore should only be used as a guide to estimate cost. </a:t>
          </a:r>
        </a:p>
      </xdr:txBody>
    </xdr:sp>
    <xdr:clientData/>
  </xdr:twoCellAnchor>
  <xdr:twoCellAnchor>
    <xdr:from>
      <xdr:col>2</xdr:col>
      <xdr:colOff>114300</xdr:colOff>
      <xdr:row>5</xdr:row>
      <xdr:rowOff>1606550</xdr:rowOff>
    </xdr:from>
    <xdr:to>
      <xdr:col>12</xdr:col>
      <xdr:colOff>219075</xdr:colOff>
      <xdr:row>14</xdr:row>
      <xdr:rowOff>19061</xdr:rowOff>
    </xdr:to>
    <xdr:sp macro="" textlink="">
      <xdr:nvSpPr>
        <xdr:cNvPr id="8" name="Text Box 18">
          <a:extLst>
            <a:ext uri="{FF2B5EF4-FFF2-40B4-BE49-F238E27FC236}">
              <a16:creationId xmlns:a16="http://schemas.microsoft.com/office/drawing/2014/main" id="{00000000-0008-0000-0000-000008000000}"/>
            </a:ext>
          </a:extLst>
        </xdr:cNvPr>
        <xdr:cNvSpPr txBox="1">
          <a:spLocks noChangeArrowheads="1"/>
        </xdr:cNvSpPr>
      </xdr:nvSpPr>
      <xdr:spPr bwMode="auto">
        <a:xfrm>
          <a:off x="947738" y="3281363"/>
          <a:ext cx="7256462" cy="1793886"/>
        </a:xfrm>
        <a:prstGeom prst="rect">
          <a:avLst/>
        </a:prstGeom>
        <a:noFill/>
        <a:ln w="9525">
          <a:noFill/>
          <a:miter lim="800000"/>
          <a:headEnd/>
          <a:tailEnd/>
        </a:ln>
      </xdr:spPr>
      <xdr:txBody>
        <a:bodyPr vertOverflow="clip" wrap="square" lIns="36576" tIns="32004" rIns="0" bIns="0" anchor="t" upright="1"/>
        <a:lstStyle/>
        <a:p>
          <a:pPr algn="l" rtl="0">
            <a:defRPr sz="1000"/>
          </a:pPr>
          <a:r>
            <a:rPr lang="en-AU" sz="1100" b="0" i="0" u="none" strike="noStrike" baseline="0">
              <a:solidFill>
                <a:srgbClr val="000000"/>
              </a:solidFill>
              <a:latin typeface="Poppins" panose="00000500000000000000" pitchFamily="2" charset="0"/>
              <a:cs typeface="Poppins" panose="00000500000000000000" pitchFamily="2" charset="0"/>
            </a:rPr>
            <a:t>This calculator is optimised for an external 1080p monitor. Should the table and background not line up, please adjust the "zoom" within the document (bottom right corner) until they do. </a:t>
          </a:r>
        </a:p>
        <a:p>
          <a:pPr algn="l" rtl="0">
            <a:defRPr sz="1000"/>
          </a:pPr>
          <a:endParaRPr lang="en-AU" sz="1100" b="0" i="0" u="none" strike="noStrike" baseline="0">
            <a:solidFill>
              <a:srgbClr val="000000"/>
            </a:solidFill>
            <a:latin typeface="Poppins" panose="00000500000000000000" pitchFamily="2" charset="0"/>
            <a:cs typeface="Poppins" panose="00000500000000000000" pitchFamily="2" charset="0"/>
          </a:endParaRPr>
        </a:p>
        <a:p>
          <a:pPr algn="l" rtl="0">
            <a:defRPr sz="1000"/>
          </a:pPr>
          <a:br>
            <a:rPr lang="en-AU" sz="1100" b="0" i="0" u="none" strike="noStrike" baseline="0">
              <a:solidFill>
                <a:srgbClr val="000000"/>
              </a:solidFill>
              <a:latin typeface="Poppins" panose="00000500000000000000" pitchFamily="2" charset="0"/>
              <a:cs typeface="Poppins" panose="00000500000000000000" pitchFamily="2" charset="0"/>
            </a:rPr>
          </a:br>
          <a:endParaRPr lang="en-AU" sz="1100" b="0" i="0" u="none" strike="noStrike" baseline="0">
            <a:solidFill>
              <a:srgbClr val="000000"/>
            </a:solidFill>
            <a:latin typeface="Poppins" panose="00000500000000000000" pitchFamily="2" charset="0"/>
            <a:cs typeface="Poppins" panose="00000500000000000000" pitchFamily="2" charset="0"/>
          </a:endParaRPr>
        </a:p>
      </xdr:txBody>
    </xdr:sp>
    <xdr:clientData/>
  </xdr:twoCellAnchor>
  <xdr:twoCellAnchor editAs="oneCell">
    <xdr:from>
      <xdr:col>2</xdr:col>
      <xdr:colOff>264322</xdr:colOff>
      <xdr:row>7</xdr:row>
      <xdr:rowOff>63500</xdr:rowOff>
    </xdr:from>
    <xdr:to>
      <xdr:col>4</xdr:col>
      <xdr:colOff>738189</xdr:colOff>
      <xdr:row>13</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srcRect r="30875"/>
        <a:stretch/>
      </xdr:blipFill>
      <xdr:spPr>
        <a:xfrm>
          <a:off x="1097760" y="3786188"/>
          <a:ext cx="2172492" cy="1241425"/>
        </a:xfrm>
        <a:prstGeom prst="rect">
          <a:avLst/>
        </a:prstGeom>
      </xdr:spPr>
    </xdr:pic>
    <xdr:clientData/>
  </xdr:twoCellAnchor>
  <xdr:twoCellAnchor editAs="oneCell">
    <xdr:from>
      <xdr:col>5</xdr:col>
      <xdr:colOff>319087</xdr:colOff>
      <xdr:row>9</xdr:row>
      <xdr:rowOff>66674</xdr:rowOff>
    </xdr:from>
    <xdr:to>
      <xdr:col>7</xdr:col>
      <xdr:colOff>471256</xdr:colOff>
      <xdr:row>10</xdr:row>
      <xdr:rowOff>171412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3700462" y="4170362"/>
          <a:ext cx="1850794" cy="295238"/>
        </a:xfrm>
        <a:prstGeom prst="rect">
          <a:avLst/>
        </a:prstGeom>
      </xdr:spPr>
    </xdr:pic>
    <xdr:clientData/>
  </xdr:twoCellAnchor>
  <xdr:twoCellAnchor editAs="oneCell">
    <xdr:from>
      <xdr:col>9</xdr:col>
      <xdr:colOff>57149</xdr:colOff>
      <xdr:row>7</xdr:row>
      <xdr:rowOff>71437</xdr:rowOff>
    </xdr:from>
    <xdr:to>
      <xdr:col>11</xdr:col>
      <xdr:colOff>583770</xdr:colOff>
      <xdr:row>14</xdr:row>
      <xdr:rowOff>3919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5970587" y="3794125"/>
          <a:ext cx="1987121" cy="1265982"/>
        </a:xfrm>
        <a:prstGeom prst="rect">
          <a:avLst/>
        </a:prstGeom>
      </xdr:spPr>
    </xdr:pic>
    <xdr:clientData/>
  </xdr:twoCellAnchor>
  <xdr:twoCellAnchor>
    <xdr:from>
      <xdr:col>4</xdr:col>
      <xdr:colOff>444499</xdr:colOff>
      <xdr:row>8</xdr:row>
      <xdr:rowOff>166689</xdr:rowOff>
    </xdr:from>
    <xdr:to>
      <xdr:col>5</xdr:col>
      <xdr:colOff>238125</xdr:colOff>
      <xdr:row>12</xdr:row>
      <xdr:rowOff>7939</xdr:rowOff>
    </xdr:to>
    <xdr:sp macro="" textlink="">
      <xdr:nvSpPr>
        <xdr:cNvPr id="6" name="Multiplication Sign 5">
          <a:extLst>
            <a:ext uri="{FF2B5EF4-FFF2-40B4-BE49-F238E27FC236}">
              <a16:creationId xmlns:a16="http://schemas.microsoft.com/office/drawing/2014/main" id="{00000000-0008-0000-0000-000006000000}"/>
            </a:ext>
          </a:extLst>
        </xdr:cNvPr>
        <xdr:cNvSpPr/>
      </xdr:nvSpPr>
      <xdr:spPr>
        <a:xfrm>
          <a:off x="2976562" y="4079877"/>
          <a:ext cx="642938" cy="603250"/>
        </a:xfrm>
        <a:prstGeom prst="mathMultiply">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436562</xdr:colOff>
      <xdr:row>11</xdr:row>
      <xdr:rowOff>15876</xdr:rowOff>
    </xdr:from>
    <xdr:to>
      <xdr:col>7</xdr:col>
      <xdr:colOff>285749</xdr:colOff>
      <xdr:row>12</xdr:row>
      <xdr:rowOff>95251</xdr:rowOff>
    </xdr:to>
    <xdr:sp macro="" textlink="">
      <xdr:nvSpPr>
        <xdr:cNvPr id="9" name="Arrow: Left-Right 8">
          <a:extLst>
            <a:ext uri="{FF2B5EF4-FFF2-40B4-BE49-F238E27FC236}">
              <a16:creationId xmlns:a16="http://schemas.microsoft.com/office/drawing/2014/main" id="{00000000-0008-0000-0000-000009000000}"/>
            </a:ext>
          </a:extLst>
        </xdr:cNvPr>
        <xdr:cNvSpPr/>
      </xdr:nvSpPr>
      <xdr:spPr>
        <a:xfrm>
          <a:off x="3817937" y="4500564"/>
          <a:ext cx="1547812" cy="269875"/>
        </a:xfrm>
        <a:prstGeom prst="leftRightArrow">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11</xdr:col>
      <xdr:colOff>325437</xdr:colOff>
      <xdr:row>9</xdr:row>
      <xdr:rowOff>7938</xdr:rowOff>
    </xdr:from>
    <xdr:to>
      <xdr:col>12</xdr:col>
      <xdr:colOff>307055</xdr:colOff>
      <xdr:row>11</xdr:row>
      <xdr:rowOff>150812</xdr:rowOff>
    </xdr:to>
    <xdr:pic>
      <xdr:nvPicPr>
        <xdr:cNvPr id="14" name="Picture 13" descr="22,681 Green Tick Stock Photos, Pictures &amp; Royalty-Free Images - iStock">
          <a:extLst>
            <a:ext uri="{FF2B5EF4-FFF2-40B4-BE49-F238E27FC236}">
              <a16:creationId xmlns:a16="http://schemas.microsoft.com/office/drawing/2014/main" id="{00000000-0008-0000-0000-00000E000000}"/>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imgEffect>
                </a14:imgLayer>
              </a14:imgProps>
            </a:ext>
            <a:ext uri="{28A0092B-C50C-407E-A947-70E740481C1C}">
              <a14:useLocalDpi xmlns:a14="http://schemas.microsoft.com/office/drawing/2010/main" val="0"/>
            </a:ext>
          </a:extLst>
        </a:blip>
        <a:srcRect l="14033" t="20292" r="16351" b="18019"/>
        <a:stretch/>
      </xdr:blipFill>
      <xdr:spPr bwMode="auto">
        <a:xfrm>
          <a:off x="7699375" y="4111626"/>
          <a:ext cx="592805"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180975</xdr:colOff>
      <xdr:row>14</xdr:row>
      <xdr:rowOff>57150</xdr:rowOff>
    </xdr:from>
    <xdr:to>
      <xdr:col>5</xdr:col>
      <xdr:colOff>285750</xdr:colOff>
      <xdr:row>15</xdr:row>
      <xdr:rowOff>38100</xdr:rowOff>
    </xdr:to>
    <xdr:pic>
      <xdr:nvPicPr>
        <xdr:cNvPr id="20312" name="Picture 15" descr="imageprograf 605_610 logo.png">
          <a:extLst>
            <a:ext uri="{FF2B5EF4-FFF2-40B4-BE49-F238E27FC236}">
              <a16:creationId xmlns:a16="http://schemas.microsoft.com/office/drawing/2014/main" id="{00000000-0008-0000-0900-0000584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25" y="2705100"/>
          <a:ext cx="127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304800</xdr:colOff>
      <xdr:row>5</xdr:row>
      <xdr:rowOff>38100</xdr:rowOff>
    </xdr:from>
    <xdr:to>
      <xdr:col>6</xdr:col>
      <xdr:colOff>0</xdr:colOff>
      <xdr:row>14</xdr:row>
      <xdr:rowOff>0</xdr:rowOff>
    </xdr:to>
    <xdr:pic>
      <xdr:nvPicPr>
        <xdr:cNvPr id="20313" name="Picture 14" descr="605_610.png">
          <a:extLst>
            <a:ext uri="{FF2B5EF4-FFF2-40B4-BE49-F238E27FC236}">
              <a16:creationId xmlns:a16="http://schemas.microsoft.com/office/drawing/2014/main" id="{00000000-0008-0000-0900-0000594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76950" y="971550"/>
          <a:ext cx="19907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xdr:row>
      <xdr:rowOff>47625</xdr:rowOff>
    </xdr:from>
    <xdr:to>
      <xdr:col>1</xdr:col>
      <xdr:colOff>1076325</xdr:colOff>
      <xdr:row>11</xdr:row>
      <xdr:rowOff>152400</xdr:rowOff>
    </xdr:to>
    <xdr:grpSp>
      <xdr:nvGrpSpPr>
        <xdr:cNvPr id="20314" name="Group 1">
          <a:extLst>
            <a:ext uri="{FF2B5EF4-FFF2-40B4-BE49-F238E27FC236}">
              <a16:creationId xmlns:a16="http://schemas.microsoft.com/office/drawing/2014/main" id="{00000000-0008-0000-0900-00005A4F0000}"/>
            </a:ext>
          </a:extLst>
        </xdr:cNvPr>
        <xdr:cNvGrpSpPr>
          <a:grpSpLocks/>
        </xdr:cNvGrpSpPr>
      </xdr:nvGrpSpPr>
      <xdr:grpSpPr bwMode="auto">
        <a:xfrm>
          <a:off x="866775" y="1362075"/>
          <a:ext cx="819150" cy="866775"/>
          <a:chOff x="130" y="141"/>
          <a:chExt cx="86" cy="91"/>
        </a:xfrm>
      </xdr:grpSpPr>
      <xdr:sp macro="" textlink="">
        <xdr:nvSpPr>
          <xdr:cNvPr id="20320" name="Rectangle 2">
            <a:extLst>
              <a:ext uri="{FF2B5EF4-FFF2-40B4-BE49-F238E27FC236}">
                <a16:creationId xmlns:a16="http://schemas.microsoft.com/office/drawing/2014/main" id="{00000000-0008-0000-0900-0000604F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20321" name="Picture 3" descr="bicycle">
            <a:extLst>
              <a:ext uri="{FF2B5EF4-FFF2-40B4-BE49-F238E27FC236}">
                <a16:creationId xmlns:a16="http://schemas.microsoft.com/office/drawing/2014/main" id="{00000000-0008-0000-0900-0000614F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8</xdr:col>
      <xdr:colOff>3</xdr:colOff>
      <xdr:row>3</xdr:row>
      <xdr:rowOff>19050</xdr:rowOff>
    </xdr:to>
    <xdr:sp macro="" textlink="">
      <xdr:nvSpPr>
        <xdr:cNvPr id="6" name="Text Box 10">
          <a:extLst>
            <a:ext uri="{FF2B5EF4-FFF2-40B4-BE49-F238E27FC236}">
              <a16:creationId xmlns:a16="http://schemas.microsoft.com/office/drawing/2014/main" id="{00000000-0008-0000-0900-0000060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Arial"/>
              <a:cs typeface="Arial"/>
            </a:rPr>
            <a:t>Custom Cost Per Print Analysis Tool</a:t>
          </a:r>
        </a:p>
      </xdr:txBody>
    </xdr:sp>
    <xdr:clientData/>
  </xdr:twoCellAnchor>
  <xdr:twoCellAnchor>
    <xdr:from>
      <xdr:col>2</xdr:col>
      <xdr:colOff>38100</xdr:colOff>
      <xdr:row>7</xdr:row>
      <xdr:rowOff>19050</xdr:rowOff>
    </xdr:from>
    <xdr:to>
      <xdr:col>2</xdr:col>
      <xdr:colOff>1371600</xdr:colOff>
      <xdr:row>12</xdr:row>
      <xdr:rowOff>9525</xdr:rowOff>
    </xdr:to>
    <xdr:grpSp>
      <xdr:nvGrpSpPr>
        <xdr:cNvPr id="20316" name="Group 69">
          <a:extLst>
            <a:ext uri="{FF2B5EF4-FFF2-40B4-BE49-F238E27FC236}">
              <a16:creationId xmlns:a16="http://schemas.microsoft.com/office/drawing/2014/main" id="{00000000-0008-0000-0900-00005C4F0000}"/>
            </a:ext>
          </a:extLst>
        </xdr:cNvPr>
        <xdr:cNvGrpSpPr>
          <a:grpSpLocks/>
        </xdr:cNvGrpSpPr>
      </xdr:nvGrpSpPr>
      <xdr:grpSpPr bwMode="auto">
        <a:xfrm>
          <a:off x="2333625" y="1333500"/>
          <a:ext cx="1333500" cy="942975"/>
          <a:chOff x="245" y="140"/>
          <a:chExt cx="140" cy="99"/>
        </a:xfrm>
      </xdr:grpSpPr>
      <xdr:sp macro="" textlink="">
        <xdr:nvSpPr>
          <xdr:cNvPr id="20318" name="Rectangle 8">
            <a:extLst>
              <a:ext uri="{FF2B5EF4-FFF2-40B4-BE49-F238E27FC236}">
                <a16:creationId xmlns:a16="http://schemas.microsoft.com/office/drawing/2014/main" id="{00000000-0008-0000-0900-00005E4F0000}"/>
              </a:ext>
            </a:extLst>
          </xdr:cNvPr>
          <xdr:cNvSpPr>
            <a:spLocks noChangeArrowheads="1"/>
          </xdr:cNvSpPr>
        </xdr:nvSpPr>
        <xdr:spPr bwMode="auto">
          <a:xfrm>
            <a:off x="249" y="143"/>
            <a:ext cx="136" cy="96"/>
          </a:xfrm>
          <a:prstGeom prst="rect">
            <a:avLst/>
          </a:prstGeom>
          <a:solidFill>
            <a:srgbClr val="808080"/>
          </a:solidFill>
          <a:ln w="9525">
            <a:solidFill>
              <a:srgbClr val="808080"/>
            </a:solidFill>
            <a:miter lim="800000"/>
            <a:headEnd/>
            <a:tailEnd/>
          </a:ln>
        </xdr:spPr>
      </xdr:sp>
      <xdr:pic>
        <xdr:nvPicPr>
          <xdr:cNvPr id="20319" name="Picture 66">
            <a:extLst>
              <a:ext uri="{FF2B5EF4-FFF2-40B4-BE49-F238E27FC236}">
                <a16:creationId xmlns:a16="http://schemas.microsoft.com/office/drawing/2014/main" id="{00000000-0008-0000-0900-00005F4F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5" y="140"/>
            <a:ext cx="136" cy="9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171450</xdr:colOff>
      <xdr:row>7</xdr:row>
      <xdr:rowOff>28575</xdr:rowOff>
    </xdr:from>
    <xdr:to>
      <xdr:col>3</xdr:col>
      <xdr:colOff>1447800</xdr:colOff>
      <xdr:row>11</xdr:row>
      <xdr:rowOff>171450</xdr:rowOff>
    </xdr:to>
    <xdr:pic>
      <xdr:nvPicPr>
        <xdr:cNvPr id="20317" name="Picture 10" descr="Screen shot 2012-07-06 at 10.41.49 AM.png">
          <a:extLst>
            <a:ext uri="{FF2B5EF4-FFF2-40B4-BE49-F238E27FC236}">
              <a16:creationId xmlns:a16="http://schemas.microsoft.com/office/drawing/2014/main" id="{00000000-0008-0000-0900-00005D4F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71925" y="1343025"/>
          <a:ext cx="1276350" cy="904875"/>
        </a:xfrm>
        <a:prstGeom prst="rect">
          <a:avLst/>
        </a:prstGeom>
        <a:noFill/>
        <a:ln w="9525">
          <a:solidFill>
            <a:srgbClr val="262626"/>
          </a:solidFill>
          <a:miter lim="800000"/>
          <a:headEnd/>
          <a:tailEnd/>
        </a:ln>
        <a:effectLst>
          <a:outerShdw dist="38100" dir="2700000" algn="tl" rotWithShape="0">
            <a:srgbClr val="7F7F7F"/>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22</xdr:row>
          <xdr:rowOff>161925</xdr:rowOff>
        </xdr:from>
        <xdr:to>
          <xdr:col>1</xdr:col>
          <xdr:colOff>1676400</xdr:colOff>
          <xdr:row>23</xdr:row>
          <xdr:rowOff>171450</xdr:rowOff>
        </xdr:to>
        <xdr:sp macro="" textlink="">
          <xdr:nvSpPr>
            <xdr:cNvPr id="19457" name="Drop Down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19458" name="Drop Down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19459" name="Drop Down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19460" name="Drop Down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180975</xdr:rowOff>
        </xdr:from>
        <xdr:to>
          <xdr:col>3</xdr:col>
          <xdr:colOff>533400</xdr:colOff>
          <xdr:row>16</xdr:row>
          <xdr:rowOff>0</xdr:rowOff>
        </xdr:to>
        <xdr:sp macro="" textlink="">
          <xdr:nvSpPr>
            <xdr:cNvPr id="19461" name="Drop Down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257175</xdr:colOff>
      <xdr:row>7</xdr:row>
      <xdr:rowOff>47625</xdr:rowOff>
    </xdr:from>
    <xdr:to>
      <xdr:col>1</xdr:col>
      <xdr:colOff>1076325</xdr:colOff>
      <xdr:row>11</xdr:row>
      <xdr:rowOff>152400</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863311" y="1536989"/>
          <a:ext cx="819150" cy="866775"/>
          <a:chOff x="130" y="141"/>
          <a:chExt cx="86" cy="91"/>
        </a:xfrm>
      </xdr:grpSpPr>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4" name="Picture 3" descr="bicycl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8</xdr:col>
      <xdr:colOff>3</xdr:colOff>
      <xdr:row>3</xdr:row>
      <xdr:rowOff>19050</xdr:rowOff>
    </xdr:to>
    <xdr:sp macro="" textlink="">
      <xdr:nvSpPr>
        <xdr:cNvPr id="5" name="Text Box 10">
          <a:extLst>
            <a:ext uri="{FF2B5EF4-FFF2-40B4-BE49-F238E27FC236}">
              <a16:creationId xmlns:a16="http://schemas.microsoft.com/office/drawing/2014/main" id="{00000000-0008-0000-0A00-000005000000}"/>
            </a:ext>
          </a:extLst>
        </xdr:cNvPr>
        <xdr:cNvSpPr txBox="1">
          <a:spLocks noChangeArrowheads="1"/>
        </xdr:cNvSpPr>
      </xdr:nvSpPr>
      <xdr:spPr bwMode="auto">
        <a:xfrm>
          <a:off x="92075" y="209550"/>
          <a:ext cx="9023350"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xdr:twoCellAnchor>
    <xdr:from>
      <xdr:col>2</xdr:col>
      <xdr:colOff>38100</xdr:colOff>
      <xdr:row>7</xdr:row>
      <xdr:rowOff>19050</xdr:rowOff>
    </xdr:from>
    <xdr:to>
      <xdr:col>2</xdr:col>
      <xdr:colOff>1371600</xdr:colOff>
      <xdr:row>12</xdr:row>
      <xdr:rowOff>9525</xdr:rowOff>
    </xdr:to>
    <xdr:grpSp>
      <xdr:nvGrpSpPr>
        <xdr:cNvPr id="6" name="Group 69">
          <a:extLst>
            <a:ext uri="{FF2B5EF4-FFF2-40B4-BE49-F238E27FC236}">
              <a16:creationId xmlns:a16="http://schemas.microsoft.com/office/drawing/2014/main" id="{00000000-0008-0000-0A00-000006000000}"/>
            </a:ext>
          </a:extLst>
        </xdr:cNvPr>
        <xdr:cNvGrpSpPr>
          <a:grpSpLocks/>
        </xdr:cNvGrpSpPr>
      </xdr:nvGrpSpPr>
      <xdr:grpSpPr bwMode="auto">
        <a:xfrm>
          <a:off x="2332759" y="1508414"/>
          <a:ext cx="1333500" cy="942975"/>
          <a:chOff x="245" y="140"/>
          <a:chExt cx="140" cy="99"/>
        </a:xfrm>
      </xdr:grpSpPr>
      <xdr:sp macro="" textlink="">
        <xdr:nvSpPr>
          <xdr:cNvPr id="7" name="Rectangle 8">
            <a:extLst>
              <a:ext uri="{FF2B5EF4-FFF2-40B4-BE49-F238E27FC236}">
                <a16:creationId xmlns:a16="http://schemas.microsoft.com/office/drawing/2014/main" id="{00000000-0008-0000-0A00-000007000000}"/>
              </a:ext>
            </a:extLst>
          </xdr:cNvPr>
          <xdr:cNvSpPr>
            <a:spLocks noChangeArrowheads="1"/>
          </xdr:cNvSpPr>
        </xdr:nvSpPr>
        <xdr:spPr bwMode="auto">
          <a:xfrm>
            <a:off x="249" y="143"/>
            <a:ext cx="136" cy="96"/>
          </a:xfrm>
          <a:prstGeom prst="rect">
            <a:avLst/>
          </a:prstGeom>
          <a:solidFill>
            <a:srgbClr val="808080"/>
          </a:solidFill>
          <a:ln w="9525">
            <a:solidFill>
              <a:srgbClr val="808080"/>
            </a:solidFill>
            <a:miter lim="800000"/>
            <a:headEnd/>
            <a:tailEnd/>
          </a:ln>
        </xdr:spPr>
      </xdr:sp>
      <xdr:pic>
        <xdr:nvPicPr>
          <xdr:cNvPr id="8" name="Picture 66">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5" y="140"/>
            <a:ext cx="136" cy="9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171450</xdr:colOff>
      <xdr:row>7</xdr:row>
      <xdr:rowOff>28575</xdr:rowOff>
    </xdr:from>
    <xdr:to>
      <xdr:col>4</xdr:col>
      <xdr:colOff>47625</xdr:colOff>
      <xdr:row>11</xdr:row>
      <xdr:rowOff>171450</xdr:rowOff>
    </xdr:to>
    <xdr:pic>
      <xdr:nvPicPr>
        <xdr:cNvPr id="9" name="Picture 10" descr="Screen shot 2012-07-06 at 10.41.49 AM.png">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71925" y="1343025"/>
          <a:ext cx="1276350" cy="904875"/>
        </a:xfrm>
        <a:prstGeom prst="rect">
          <a:avLst/>
        </a:prstGeom>
        <a:noFill/>
        <a:ln w="9525">
          <a:solidFill>
            <a:srgbClr val="262626"/>
          </a:solidFill>
          <a:miter lim="800000"/>
          <a:headEnd/>
          <a:tailEnd/>
        </a:ln>
        <a:effectLst>
          <a:outerShdw dist="38100" dir="2700000" algn="tl" rotWithShape="0">
            <a:srgbClr val="7F7F7F"/>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46081" name="Drop Down 1" hidden="1">
              <a:extLst>
                <a:ext uri="{63B3BB69-23CF-44E3-9099-C40C66FF867C}">
                  <a14:compatExt spid="_x0000_s46081"/>
                </a:ext>
                <a:ext uri="{FF2B5EF4-FFF2-40B4-BE49-F238E27FC236}">
                  <a16:creationId xmlns:a16="http://schemas.microsoft.com/office/drawing/2014/main" id="{00000000-0008-0000-0A00-000001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46082" name="Drop Down 2" hidden="1">
              <a:extLst>
                <a:ext uri="{63B3BB69-23CF-44E3-9099-C40C66FF867C}">
                  <a14:compatExt spid="_x0000_s46082"/>
                </a:ext>
                <a:ext uri="{FF2B5EF4-FFF2-40B4-BE49-F238E27FC236}">
                  <a16:creationId xmlns:a16="http://schemas.microsoft.com/office/drawing/2014/main" id="{00000000-0008-0000-0A00-000002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46083" name="Drop Down 3" hidden="1">
              <a:extLst>
                <a:ext uri="{63B3BB69-23CF-44E3-9099-C40C66FF867C}">
                  <a14:compatExt spid="_x0000_s46083"/>
                </a:ext>
                <a:ext uri="{FF2B5EF4-FFF2-40B4-BE49-F238E27FC236}">
                  <a16:creationId xmlns:a16="http://schemas.microsoft.com/office/drawing/2014/main" id="{00000000-0008-0000-0A00-000003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180975</xdr:rowOff>
        </xdr:from>
        <xdr:to>
          <xdr:col>3</xdr:col>
          <xdr:colOff>533400</xdr:colOff>
          <xdr:row>16</xdr:row>
          <xdr:rowOff>0</xdr:rowOff>
        </xdr:to>
        <xdr:sp macro="" textlink="">
          <xdr:nvSpPr>
            <xdr:cNvPr id="46084" name="Drop Down 4" hidden="1">
              <a:extLst>
                <a:ext uri="{63B3BB69-23CF-44E3-9099-C40C66FF867C}">
                  <a14:compatExt spid="_x0000_s46084"/>
                </a:ext>
                <a:ext uri="{FF2B5EF4-FFF2-40B4-BE49-F238E27FC236}">
                  <a16:creationId xmlns:a16="http://schemas.microsoft.com/office/drawing/2014/main" id="{00000000-0008-0000-0A00-000004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46085" name="Drop Down 5" hidden="1">
              <a:extLst>
                <a:ext uri="{63B3BB69-23CF-44E3-9099-C40C66FF867C}">
                  <a14:compatExt spid="_x0000_s46085"/>
                </a:ext>
                <a:ext uri="{FF2B5EF4-FFF2-40B4-BE49-F238E27FC236}">
                  <a16:creationId xmlns:a16="http://schemas.microsoft.com/office/drawing/2014/main" id="{00000000-0008-0000-0A00-000005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0</xdr:colOff>
      <xdr:row>2</xdr:row>
      <xdr:rowOff>0</xdr:rowOff>
    </xdr:from>
    <xdr:to>
      <xdr:col>18</xdr:col>
      <xdr:colOff>161925</xdr:colOff>
      <xdr:row>27</xdr:row>
      <xdr:rowOff>209550</xdr:rowOff>
    </xdr:to>
    <xdr:sp macro="" textlink="">
      <xdr:nvSpPr>
        <xdr:cNvPr id="17" name="Rectangle: Rounded Corners 16">
          <a:extLst>
            <a:ext uri="{FF2B5EF4-FFF2-40B4-BE49-F238E27FC236}">
              <a16:creationId xmlns:a16="http://schemas.microsoft.com/office/drawing/2014/main" id="{00000000-0008-0000-0A00-000011000000}"/>
            </a:ext>
          </a:extLst>
        </xdr:cNvPr>
        <xdr:cNvSpPr/>
      </xdr:nvSpPr>
      <xdr:spPr>
        <a:xfrm>
          <a:off x="9829800" y="552450"/>
          <a:ext cx="2981325" cy="5057775"/>
        </a:xfrm>
        <a:prstGeom prst="roundRect">
          <a:avLst/>
        </a:prstGeom>
        <a:solidFill>
          <a:schemeClr val="bg1">
            <a:lumMod val="65000"/>
          </a:schemeClr>
        </a:solidFill>
        <a:ln>
          <a:solidFill>
            <a:schemeClr val="bg1">
              <a:lumMod val="6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16</xdr:col>
      <xdr:colOff>57150</xdr:colOff>
      <xdr:row>2</xdr:row>
      <xdr:rowOff>152400</xdr:rowOff>
    </xdr:from>
    <xdr:to>
      <xdr:col>18</xdr:col>
      <xdr:colOff>114300</xdr:colOff>
      <xdr:row>4</xdr:row>
      <xdr:rowOff>171450</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9886950" y="704850"/>
          <a:ext cx="28765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Key Selling</a:t>
          </a:r>
          <a:r>
            <a:rPr lang="en-AU" sz="1100" b="1" u="sng" baseline="0">
              <a:latin typeface="Poppins" panose="00000500000000000000" pitchFamily="2" charset="0"/>
              <a:cs typeface="Poppins" panose="00000500000000000000" pitchFamily="2" charset="0"/>
            </a:rPr>
            <a:t> Points</a:t>
          </a:r>
        </a:p>
      </xdr:txBody>
    </xdr:sp>
    <xdr:clientData/>
  </xdr:twoCellAnchor>
  <xdr:twoCellAnchor>
    <xdr:from>
      <xdr:col>16</xdr:col>
      <xdr:colOff>76200</xdr:colOff>
      <xdr:row>5</xdr:row>
      <xdr:rowOff>66675</xdr:rowOff>
    </xdr:from>
    <xdr:to>
      <xdr:col>17</xdr:col>
      <xdr:colOff>714375</xdr:colOff>
      <xdr:row>27</xdr:row>
      <xdr:rowOff>285750</xdr:rowOff>
    </xdr:to>
    <xdr:sp macro="" textlink="">
      <xdr:nvSpPr>
        <xdr:cNvPr id="21" name="TextBox 20">
          <a:extLst>
            <a:ext uri="{FF2B5EF4-FFF2-40B4-BE49-F238E27FC236}">
              <a16:creationId xmlns:a16="http://schemas.microsoft.com/office/drawing/2014/main" id="{00000000-0008-0000-0A00-000015000000}"/>
            </a:ext>
          </a:extLst>
        </xdr:cNvPr>
        <xdr:cNvSpPr txBox="1"/>
      </xdr:nvSpPr>
      <xdr:spPr>
        <a:xfrm>
          <a:off x="9906000" y="1171575"/>
          <a:ext cx="149542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Feature</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- 5-colour pigment ink system</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Desktop configuration </a:t>
          </a:r>
        </a:p>
        <a:p>
          <a:pPr algn="l"/>
          <a:r>
            <a:rPr lang="en-AU" sz="1100">
              <a:latin typeface="Poppins" panose="00000500000000000000" pitchFamily="2" charset="0"/>
              <a:cs typeface="Poppins" panose="00000500000000000000" pitchFamily="2" charset="0"/>
            </a:rPr>
            <a:t>(TA-20 only)</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Borderless Printing</a:t>
          </a:r>
        </a:p>
      </xdr:txBody>
    </xdr:sp>
    <xdr:clientData/>
  </xdr:twoCellAnchor>
  <xdr:twoCellAnchor>
    <xdr:from>
      <xdr:col>17</xdr:col>
      <xdr:colOff>704850</xdr:colOff>
      <xdr:row>5</xdr:row>
      <xdr:rowOff>76200</xdr:rowOff>
    </xdr:from>
    <xdr:to>
      <xdr:col>18</xdr:col>
      <xdr:colOff>142875</xdr:colOff>
      <xdr:row>28</xdr:row>
      <xdr:rowOff>0</xdr:rowOff>
    </xdr:to>
    <xdr:sp macro="" textlink="">
      <xdr:nvSpPr>
        <xdr:cNvPr id="22" name="TextBox 21">
          <a:extLst>
            <a:ext uri="{FF2B5EF4-FFF2-40B4-BE49-F238E27FC236}">
              <a16:creationId xmlns:a16="http://schemas.microsoft.com/office/drawing/2014/main" id="{00000000-0008-0000-0A00-000016000000}"/>
            </a:ext>
          </a:extLst>
        </xdr:cNvPr>
        <xdr:cNvSpPr txBox="1"/>
      </xdr:nvSpPr>
      <xdr:spPr>
        <a:xfrm>
          <a:off x="11391900" y="1181100"/>
          <a:ext cx="140017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Benefits</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Enhanced durability against sunlight and water</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a:t>
          </a:r>
          <a:r>
            <a:rPr lang="en-AU" sz="1100" baseline="0">
              <a:latin typeface="Poppins" panose="00000500000000000000" pitchFamily="2" charset="0"/>
              <a:cs typeface="Poppins" panose="00000500000000000000" pitchFamily="2" charset="0"/>
            </a:rPr>
            <a:t> Reduced printer cost with optional stand (TA-20 only)</a:t>
          </a:r>
        </a:p>
        <a:p>
          <a:pPr algn="l"/>
          <a:endParaRPr lang="en-AU" sz="1100" baseline="0">
            <a:latin typeface="Poppins" panose="00000500000000000000" pitchFamily="2" charset="0"/>
            <a:cs typeface="Poppins" panose="00000500000000000000" pitchFamily="2" charset="0"/>
          </a:endParaRP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Reduced finishing time</a:t>
          </a:r>
          <a:endParaRPr lang="en-AU" sz="1100">
            <a:latin typeface="Poppins" panose="00000500000000000000" pitchFamily="2" charset="0"/>
            <a:cs typeface="Poppins" panose="00000500000000000000" pitchFamily="2" charset="0"/>
          </a:endParaRPr>
        </a:p>
      </xdr:txBody>
    </xdr:sp>
    <xdr:clientData/>
  </xdr:twoCellAnchor>
  <xdr:twoCellAnchor>
    <xdr:from>
      <xdr:col>16</xdr:col>
      <xdr:colOff>476251</xdr:colOff>
      <xdr:row>14</xdr:row>
      <xdr:rowOff>43295</xdr:rowOff>
    </xdr:from>
    <xdr:to>
      <xdr:col>17</xdr:col>
      <xdr:colOff>1512278</xdr:colOff>
      <xdr:row>14</xdr:row>
      <xdr:rowOff>44760</xdr:rowOff>
    </xdr:to>
    <xdr:cxnSp macro="">
      <xdr:nvCxnSpPr>
        <xdr:cNvPr id="23" name="Straight Connector 22">
          <a:extLst>
            <a:ext uri="{FF2B5EF4-FFF2-40B4-BE49-F238E27FC236}">
              <a16:creationId xmlns:a16="http://schemas.microsoft.com/office/drawing/2014/main" id="{00000000-0008-0000-0A00-000017000000}"/>
            </a:ext>
          </a:extLst>
        </xdr:cNvPr>
        <xdr:cNvCxnSpPr/>
      </xdr:nvCxnSpPr>
      <xdr:spPr>
        <a:xfrm flipV="1">
          <a:off x="10312978" y="2866159"/>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446810</xdr:colOff>
      <xdr:row>21</xdr:row>
      <xdr:rowOff>22513</xdr:rowOff>
    </xdr:from>
    <xdr:to>
      <xdr:col>17</xdr:col>
      <xdr:colOff>1482837</xdr:colOff>
      <xdr:row>21</xdr:row>
      <xdr:rowOff>23978</xdr:rowOff>
    </xdr:to>
    <xdr:cxnSp macro="">
      <xdr:nvCxnSpPr>
        <xdr:cNvPr id="24" name="Straight Connector 23">
          <a:extLst>
            <a:ext uri="{FF2B5EF4-FFF2-40B4-BE49-F238E27FC236}">
              <a16:creationId xmlns:a16="http://schemas.microsoft.com/office/drawing/2014/main" id="{00000000-0008-0000-0A00-000018000000}"/>
            </a:ext>
          </a:extLst>
        </xdr:cNvPr>
        <xdr:cNvCxnSpPr/>
      </xdr:nvCxnSpPr>
      <xdr:spPr>
        <a:xfrm flipV="1">
          <a:off x="10283537" y="4178877"/>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632113</xdr:colOff>
      <xdr:row>4</xdr:row>
      <xdr:rowOff>140874</xdr:rowOff>
    </xdr:from>
    <xdr:to>
      <xdr:col>7</xdr:col>
      <xdr:colOff>311727</xdr:colOff>
      <xdr:row>14</xdr:row>
      <xdr:rowOff>2447</xdr:rowOff>
    </xdr:to>
    <xdr:pic>
      <xdr:nvPicPr>
        <xdr:cNvPr id="10" name="Picture 9" descr="Canon imagePROGRAF TM-200 Printer w/o Stand - 24in- LexJet - Inkjet  Printers, Media, Ink Cartridges and More">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imgEffect>
                </a14:imgLayer>
              </a14:imgProps>
            </a:ext>
            <a:ext uri="{28A0092B-C50C-407E-A947-70E740481C1C}">
              <a14:useLocalDpi xmlns:a14="http://schemas.microsoft.com/office/drawing/2010/main" val="0"/>
            </a:ext>
          </a:extLst>
        </a:blip>
        <a:srcRect/>
        <a:stretch>
          <a:fillRect/>
        </a:stretch>
      </xdr:blipFill>
      <xdr:spPr bwMode="auto">
        <a:xfrm>
          <a:off x="5836227" y="1058738"/>
          <a:ext cx="3099955" cy="1766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7</xdr:row>
      <xdr:rowOff>47625</xdr:rowOff>
    </xdr:from>
    <xdr:to>
      <xdr:col>1</xdr:col>
      <xdr:colOff>1076325</xdr:colOff>
      <xdr:row>11</xdr:row>
      <xdr:rowOff>152400</xdr:rowOff>
    </xdr:to>
    <xdr:grpSp>
      <xdr:nvGrpSpPr>
        <xdr:cNvPr id="36864" name="Group 20">
          <a:extLst>
            <a:ext uri="{FF2B5EF4-FFF2-40B4-BE49-F238E27FC236}">
              <a16:creationId xmlns:a16="http://schemas.microsoft.com/office/drawing/2014/main" id="{00000000-0008-0000-0100-000000900000}"/>
            </a:ext>
          </a:extLst>
        </xdr:cNvPr>
        <xdr:cNvGrpSpPr>
          <a:grpSpLocks/>
        </xdr:cNvGrpSpPr>
      </xdr:nvGrpSpPr>
      <xdr:grpSpPr bwMode="auto">
        <a:xfrm>
          <a:off x="863311" y="1450398"/>
          <a:ext cx="819150" cy="866775"/>
          <a:chOff x="130" y="141"/>
          <a:chExt cx="86" cy="91"/>
        </a:xfrm>
      </xdr:grpSpPr>
      <xdr:sp macro="" textlink="">
        <xdr:nvSpPr>
          <xdr:cNvPr id="36873" name="Rectangle 8">
            <a:extLst>
              <a:ext uri="{FF2B5EF4-FFF2-40B4-BE49-F238E27FC236}">
                <a16:creationId xmlns:a16="http://schemas.microsoft.com/office/drawing/2014/main" id="{00000000-0008-0000-0100-00000990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36874" name="Picture 11" descr="bicycle">
            <a:extLst>
              <a:ext uri="{FF2B5EF4-FFF2-40B4-BE49-F238E27FC236}">
                <a16:creationId xmlns:a16="http://schemas.microsoft.com/office/drawing/2014/main" id="{00000000-0008-0000-0100-00000A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1771650</xdr:colOff>
      <xdr:row>7</xdr:row>
      <xdr:rowOff>9525</xdr:rowOff>
    </xdr:from>
    <xdr:to>
      <xdr:col>2</xdr:col>
      <xdr:colOff>1333500</xdr:colOff>
      <xdr:row>11</xdr:row>
      <xdr:rowOff>180975</xdr:rowOff>
    </xdr:to>
    <xdr:grpSp>
      <xdr:nvGrpSpPr>
        <xdr:cNvPr id="36865" name="Group 21">
          <a:extLst>
            <a:ext uri="{FF2B5EF4-FFF2-40B4-BE49-F238E27FC236}">
              <a16:creationId xmlns:a16="http://schemas.microsoft.com/office/drawing/2014/main" id="{00000000-0008-0000-0100-000001900000}"/>
            </a:ext>
          </a:extLst>
        </xdr:cNvPr>
        <xdr:cNvGrpSpPr>
          <a:grpSpLocks/>
        </xdr:cNvGrpSpPr>
      </xdr:nvGrpSpPr>
      <xdr:grpSpPr bwMode="auto">
        <a:xfrm>
          <a:off x="2234911" y="1412298"/>
          <a:ext cx="1332634" cy="933450"/>
          <a:chOff x="246" y="148"/>
          <a:chExt cx="122" cy="98"/>
        </a:xfrm>
      </xdr:grpSpPr>
      <xdr:sp macro="" textlink="">
        <xdr:nvSpPr>
          <xdr:cNvPr id="36871" name="Rectangle 7">
            <a:extLst>
              <a:ext uri="{FF2B5EF4-FFF2-40B4-BE49-F238E27FC236}">
                <a16:creationId xmlns:a16="http://schemas.microsoft.com/office/drawing/2014/main" id="{00000000-0008-0000-0100-000007900000}"/>
              </a:ext>
            </a:extLst>
          </xdr:cNvPr>
          <xdr:cNvSpPr>
            <a:spLocks noChangeArrowheads="1"/>
          </xdr:cNvSpPr>
        </xdr:nvSpPr>
        <xdr:spPr bwMode="auto">
          <a:xfrm>
            <a:off x="248" y="151"/>
            <a:ext cx="120" cy="95"/>
          </a:xfrm>
          <a:prstGeom prst="rect">
            <a:avLst/>
          </a:prstGeom>
          <a:solidFill>
            <a:srgbClr val="808080"/>
          </a:solidFill>
          <a:ln w="9525">
            <a:solidFill>
              <a:srgbClr val="808080"/>
            </a:solidFill>
            <a:miter lim="800000"/>
            <a:headEnd/>
            <a:tailEnd/>
          </a:ln>
        </xdr:spPr>
      </xdr:sp>
      <xdr:pic>
        <xdr:nvPicPr>
          <xdr:cNvPr id="36872" name="Picture 12">
            <a:extLst>
              <a:ext uri="{FF2B5EF4-FFF2-40B4-BE49-F238E27FC236}">
                <a16:creationId xmlns:a16="http://schemas.microsoft.com/office/drawing/2014/main" id="{00000000-0008-0000-0100-0000089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 y="148"/>
            <a:ext cx="118" cy="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333375</xdr:colOff>
      <xdr:row>6</xdr:row>
      <xdr:rowOff>180975</xdr:rowOff>
    </xdr:from>
    <xdr:to>
      <xdr:col>3</xdr:col>
      <xdr:colOff>1123950</xdr:colOff>
      <xdr:row>12</xdr:row>
      <xdr:rowOff>9525</xdr:rowOff>
    </xdr:to>
    <xdr:grpSp>
      <xdr:nvGrpSpPr>
        <xdr:cNvPr id="36866" name="Group 22">
          <a:extLst>
            <a:ext uri="{FF2B5EF4-FFF2-40B4-BE49-F238E27FC236}">
              <a16:creationId xmlns:a16="http://schemas.microsoft.com/office/drawing/2014/main" id="{00000000-0008-0000-0100-000002900000}"/>
            </a:ext>
          </a:extLst>
        </xdr:cNvPr>
        <xdr:cNvGrpSpPr>
          <a:grpSpLocks/>
        </xdr:cNvGrpSpPr>
      </xdr:nvGrpSpPr>
      <xdr:grpSpPr bwMode="auto">
        <a:xfrm>
          <a:off x="4143375" y="1393248"/>
          <a:ext cx="790575" cy="971550"/>
          <a:chOff x="432" y="142"/>
          <a:chExt cx="83" cy="102"/>
        </a:xfrm>
      </xdr:grpSpPr>
      <xdr:sp macro="" textlink="">
        <xdr:nvSpPr>
          <xdr:cNvPr id="36869" name="Rectangle 6">
            <a:extLst>
              <a:ext uri="{FF2B5EF4-FFF2-40B4-BE49-F238E27FC236}">
                <a16:creationId xmlns:a16="http://schemas.microsoft.com/office/drawing/2014/main" id="{00000000-0008-0000-0100-000005900000}"/>
              </a:ext>
            </a:extLst>
          </xdr:cNvPr>
          <xdr:cNvSpPr>
            <a:spLocks noChangeArrowheads="1"/>
          </xdr:cNvSpPr>
        </xdr:nvSpPr>
        <xdr:spPr bwMode="auto">
          <a:xfrm>
            <a:off x="434" y="145"/>
            <a:ext cx="81" cy="99"/>
          </a:xfrm>
          <a:prstGeom prst="rect">
            <a:avLst/>
          </a:prstGeom>
          <a:solidFill>
            <a:srgbClr val="808080"/>
          </a:solidFill>
          <a:ln w="9525">
            <a:solidFill>
              <a:srgbClr val="808080"/>
            </a:solidFill>
            <a:miter lim="800000"/>
            <a:headEnd/>
            <a:tailEnd/>
          </a:ln>
        </xdr:spPr>
      </xdr:sp>
      <xdr:pic>
        <xdr:nvPicPr>
          <xdr:cNvPr id="36870" name="Picture 13">
            <a:extLst>
              <a:ext uri="{FF2B5EF4-FFF2-40B4-BE49-F238E27FC236}">
                <a16:creationId xmlns:a16="http://schemas.microsoft.com/office/drawing/2014/main" id="{00000000-0008-0000-0100-0000069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2" y="142"/>
            <a:ext cx="79" cy="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12323" name="Text Box 35">
          <a:extLst>
            <a:ext uri="{FF2B5EF4-FFF2-40B4-BE49-F238E27FC236}">
              <a16:creationId xmlns:a16="http://schemas.microsoft.com/office/drawing/2014/main" id="{00000000-0008-0000-0100-0000233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466725</xdr:colOff>
          <xdr:row>14</xdr:row>
          <xdr:rowOff>209550</xdr:rowOff>
        </xdr:to>
        <xdr:sp macro="" textlink="">
          <xdr:nvSpPr>
            <xdr:cNvPr id="12297" name="Drop Down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466725</xdr:colOff>
          <xdr:row>16</xdr:row>
          <xdr:rowOff>9525</xdr:rowOff>
        </xdr:to>
        <xdr:sp macro="" textlink="">
          <xdr:nvSpPr>
            <xdr:cNvPr id="12298" name="Drop Down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2</xdr:col>
          <xdr:colOff>0</xdr:colOff>
          <xdr:row>24</xdr:row>
          <xdr:rowOff>171450</xdr:rowOff>
        </xdr:to>
        <xdr:sp macro="" textlink="">
          <xdr:nvSpPr>
            <xdr:cNvPr id="12311" name="Drop Down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0</xdr:colOff>
          <xdr:row>18</xdr:row>
          <xdr:rowOff>0</xdr:rowOff>
        </xdr:to>
        <xdr:sp macro="" textlink="">
          <xdr:nvSpPr>
            <xdr:cNvPr id="12314" name="Drop Down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0</xdr:colOff>
          <xdr:row>18</xdr:row>
          <xdr:rowOff>190500</xdr:rowOff>
        </xdr:to>
        <xdr:sp macro="" textlink="">
          <xdr:nvSpPr>
            <xdr:cNvPr id="12315" name="Drop Down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457200</xdr:colOff>
      <xdr:row>5</xdr:row>
      <xdr:rowOff>142875</xdr:rowOff>
    </xdr:from>
    <xdr:to>
      <xdr:col>6</xdr:col>
      <xdr:colOff>777240</xdr:colOff>
      <xdr:row>15</xdr:row>
      <xdr:rowOff>167640</xdr:rowOff>
    </xdr:to>
    <xdr:pic>
      <xdr:nvPicPr>
        <xdr:cNvPr id="36868" name="Picture 1">
          <a:extLst>
            <a:ext uri="{FF2B5EF4-FFF2-40B4-BE49-F238E27FC236}">
              <a16:creationId xmlns:a16="http://schemas.microsoft.com/office/drawing/2014/main" id="{00000000-0008-0000-0100-0000049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29275" y="1162050"/>
          <a:ext cx="2609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28575</xdr:colOff>
      <xdr:row>1</xdr:row>
      <xdr:rowOff>257175</xdr:rowOff>
    </xdr:from>
    <xdr:to>
      <xdr:col>18</xdr:col>
      <xdr:colOff>190500</xdr:colOff>
      <xdr:row>27</xdr:row>
      <xdr:rowOff>171450</xdr:rowOff>
    </xdr:to>
    <xdr:sp macro="" textlink="">
      <xdr:nvSpPr>
        <xdr:cNvPr id="4" name="Rectangle: Rounded Corners 3">
          <a:extLst>
            <a:ext uri="{FF2B5EF4-FFF2-40B4-BE49-F238E27FC236}">
              <a16:creationId xmlns:a16="http://schemas.microsoft.com/office/drawing/2014/main" id="{00000000-0008-0000-0100-000004000000}"/>
            </a:ext>
          </a:extLst>
        </xdr:cNvPr>
        <xdr:cNvSpPr/>
      </xdr:nvSpPr>
      <xdr:spPr>
        <a:xfrm>
          <a:off x="9953625" y="447675"/>
          <a:ext cx="2981325" cy="5057775"/>
        </a:xfrm>
        <a:prstGeom prst="roundRect">
          <a:avLst/>
        </a:prstGeom>
        <a:solidFill>
          <a:schemeClr val="bg1">
            <a:lumMod val="65000"/>
          </a:schemeClr>
        </a:solidFill>
        <a:ln>
          <a:solidFill>
            <a:schemeClr val="bg1">
              <a:lumMod val="6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16</xdr:col>
      <xdr:colOff>57150</xdr:colOff>
      <xdr:row>4</xdr:row>
      <xdr:rowOff>161925</xdr:rowOff>
    </xdr:from>
    <xdr:to>
      <xdr:col>17</xdr:col>
      <xdr:colOff>695325</xdr:colOff>
      <xdr:row>27</xdr:row>
      <xdr:rowOff>171450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982200" y="990600"/>
          <a:ext cx="149542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Feature</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11-colour ink system</a:t>
          </a: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Plus Chroma Optimiser</a:t>
          </a: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Optional Multifunctional Roll Unit (RU-xx)</a:t>
          </a: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Borderless Printing</a:t>
          </a:r>
        </a:p>
      </xdr:txBody>
    </xdr:sp>
    <xdr:clientData/>
  </xdr:twoCellAnchor>
  <xdr:twoCellAnchor>
    <xdr:from>
      <xdr:col>17</xdr:col>
      <xdr:colOff>685800</xdr:colOff>
      <xdr:row>4</xdr:row>
      <xdr:rowOff>171450</xdr:rowOff>
    </xdr:from>
    <xdr:to>
      <xdr:col>18</xdr:col>
      <xdr:colOff>123825</xdr:colOff>
      <xdr:row>27</xdr:row>
      <xdr:rowOff>180975</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11468100" y="1000125"/>
          <a:ext cx="140017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Benefits</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Highest image quality </a:t>
          </a:r>
        </a:p>
        <a:p>
          <a:pPr algn="ctr"/>
          <a:endParaRPr lang="en-AU" sz="1100">
            <a:latin typeface="Poppins" panose="00000500000000000000" pitchFamily="2" charset="0"/>
            <a:cs typeface="Poppins" panose="00000500000000000000" pitchFamily="2" charset="0"/>
          </a:endParaRPr>
        </a:p>
        <a:p>
          <a:pPr algn="ctr"/>
          <a:r>
            <a:rPr lang="en-AU" sz="1100" baseline="0">
              <a:latin typeface="Poppins" panose="00000500000000000000" pitchFamily="2" charset="0"/>
              <a:cs typeface="Poppins" panose="00000500000000000000" pitchFamily="2" charset="0"/>
            </a:rPr>
            <a:t>Improved print quality on photograhihc media</a:t>
          </a:r>
        </a:p>
        <a:p>
          <a:pPr algn="ctr"/>
          <a:endParaRPr lang="en-AU" sz="1100" baseline="0">
            <a:latin typeface="Poppins" panose="00000500000000000000" pitchFamily="2" charset="0"/>
            <a:cs typeface="Poppins" panose="00000500000000000000" pitchFamily="2" charset="0"/>
          </a:endParaRPr>
        </a:p>
        <a:p>
          <a:pPr algn="ctr"/>
          <a:r>
            <a:rPr lang="en-AU" sz="1100" baseline="0">
              <a:latin typeface="Poppins" panose="00000500000000000000" pitchFamily="2" charset="0"/>
              <a:cs typeface="Poppins" panose="00000500000000000000" pitchFamily="2" charset="0"/>
            </a:rPr>
            <a:t>Load two </a:t>
          </a:r>
        </a:p>
        <a:p>
          <a:pPr algn="ctr"/>
          <a:r>
            <a:rPr lang="en-AU" sz="1100" baseline="0">
              <a:latin typeface="Poppins" panose="00000500000000000000" pitchFamily="2" charset="0"/>
              <a:cs typeface="Poppins" panose="00000500000000000000" pitchFamily="2" charset="0"/>
            </a:rPr>
            <a:t>media rolls simultaneously OR print roll-to-roll</a:t>
          </a:r>
        </a:p>
        <a:p>
          <a:pPr algn="ctr"/>
          <a:endParaRPr lang="en-AU" sz="1100" baseline="0">
            <a:latin typeface="Poppins" panose="00000500000000000000" pitchFamily="2" charset="0"/>
            <a:cs typeface="Poppins" panose="00000500000000000000" pitchFamily="2" charset="0"/>
          </a:endParaRPr>
        </a:p>
        <a:p>
          <a:pPr algn="ctr"/>
          <a:r>
            <a:rPr lang="en-AU" sz="1100" baseline="0">
              <a:latin typeface="Poppins" panose="00000500000000000000" pitchFamily="2" charset="0"/>
              <a:cs typeface="Poppins" panose="00000500000000000000" pitchFamily="2" charset="0"/>
            </a:rPr>
            <a:t>Reduced finishing time</a:t>
          </a:r>
          <a:endParaRPr lang="en-AU" sz="1100">
            <a:latin typeface="Poppins" panose="00000500000000000000" pitchFamily="2" charset="0"/>
            <a:cs typeface="Poppins" panose="00000500000000000000" pitchFamily="2" charset="0"/>
          </a:endParaRPr>
        </a:p>
      </xdr:txBody>
    </xdr:sp>
    <xdr:clientData/>
  </xdr:twoCellAnchor>
  <xdr:twoCellAnchor>
    <xdr:from>
      <xdr:col>16</xdr:col>
      <xdr:colOff>85725</xdr:colOff>
      <xdr:row>2</xdr:row>
      <xdr:rowOff>133350</xdr:rowOff>
    </xdr:from>
    <xdr:to>
      <xdr:col>18</xdr:col>
      <xdr:colOff>142875</xdr:colOff>
      <xdr:row>4</xdr:row>
      <xdr:rowOff>152400</xdr:rowOff>
    </xdr:to>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10010775" y="600075"/>
          <a:ext cx="28765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Key Selling</a:t>
          </a:r>
          <a:r>
            <a:rPr lang="en-AU" sz="1100" b="1" u="sng" baseline="0">
              <a:latin typeface="Poppins" panose="00000500000000000000" pitchFamily="2" charset="0"/>
              <a:cs typeface="Poppins" panose="00000500000000000000" pitchFamily="2" charset="0"/>
            </a:rPr>
            <a:t> Points</a:t>
          </a:r>
        </a:p>
      </xdr:txBody>
    </xdr:sp>
    <xdr:clientData/>
  </xdr:twoCellAnchor>
  <xdr:twoCellAnchor>
    <xdr:from>
      <xdr:col>16</xdr:col>
      <xdr:colOff>537796</xdr:colOff>
      <xdr:row>15</xdr:row>
      <xdr:rowOff>108439</xdr:rowOff>
    </xdr:from>
    <xdr:to>
      <xdr:col>17</xdr:col>
      <xdr:colOff>1573823</xdr:colOff>
      <xdr:row>15</xdr:row>
      <xdr:rowOff>109904</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a:xfrm flipV="1">
          <a:off x="10458450" y="3068516"/>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537796</xdr:colOff>
      <xdr:row>21</xdr:row>
      <xdr:rowOff>189035</xdr:rowOff>
    </xdr:from>
    <xdr:to>
      <xdr:col>17</xdr:col>
      <xdr:colOff>1573823</xdr:colOff>
      <xdr:row>22</xdr:row>
      <xdr:rowOff>0</xdr:rowOff>
    </xdr:to>
    <xdr:cxnSp macro="">
      <xdr:nvCxnSpPr>
        <xdr:cNvPr id="29" name="Straight Connector 28">
          <a:extLst>
            <a:ext uri="{FF2B5EF4-FFF2-40B4-BE49-F238E27FC236}">
              <a16:creationId xmlns:a16="http://schemas.microsoft.com/office/drawing/2014/main" id="{00000000-0008-0000-0100-00001D000000}"/>
            </a:ext>
          </a:extLst>
        </xdr:cNvPr>
        <xdr:cNvCxnSpPr/>
      </xdr:nvCxnSpPr>
      <xdr:spPr>
        <a:xfrm flipV="1">
          <a:off x="10458450" y="4306766"/>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545522</xdr:colOff>
      <xdr:row>10</xdr:row>
      <xdr:rowOff>43295</xdr:rowOff>
    </xdr:from>
    <xdr:to>
      <xdr:col>17</xdr:col>
      <xdr:colOff>1581549</xdr:colOff>
      <xdr:row>10</xdr:row>
      <xdr:rowOff>44760</xdr:rowOff>
    </xdr:to>
    <xdr:cxnSp macro="">
      <xdr:nvCxnSpPr>
        <xdr:cNvPr id="28" name="Straight Connector 27">
          <a:extLst>
            <a:ext uri="{FF2B5EF4-FFF2-40B4-BE49-F238E27FC236}">
              <a16:creationId xmlns:a16="http://schemas.microsoft.com/office/drawing/2014/main" id="{00000000-0008-0000-0100-00001C000000}"/>
            </a:ext>
          </a:extLst>
        </xdr:cNvPr>
        <xdr:cNvCxnSpPr/>
      </xdr:nvCxnSpPr>
      <xdr:spPr>
        <a:xfrm flipV="1">
          <a:off x="10512136" y="2017568"/>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7</xdr:row>
      <xdr:rowOff>66675</xdr:rowOff>
    </xdr:from>
    <xdr:to>
      <xdr:col>1</xdr:col>
      <xdr:colOff>1076325</xdr:colOff>
      <xdr:row>11</xdr:row>
      <xdr:rowOff>171450</xdr:rowOff>
    </xdr:to>
    <xdr:grpSp>
      <xdr:nvGrpSpPr>
        <xdr:cNvPr id="37888" name="Group 4">
          <a:extLst>
            <a:ext uri="{FF2B5EF4-FFF2-40B4-BE49-F238E27FC236}">
              <a16:creationId xmlns:a16="http://schemas.microsoft.com/office/drawing/2014/main" id="{00000000-0008-0000-0200-000000940000}"/>
            </a:ext>
          </a:extLst>
        </xdr:cNvPr>
        <xdr:cNvGrpSpPr>
          <a:grpSpLocks/>
        </xdr:cNvGrpSpPr>
      </xdr:nvGrpSpPr>
      <xdr:grpSpPr bwMode="auto">
        <a:xfrm>
          <a:off x="863311" y="1469448"/>
          <a:ext cx="819150" cy="866775"/>
          <a:chOff x="130" y="141"/>
          <a:chExt cx="86" cy="91"/>
        </a:xfrm>
      </xdr:grpSpPr>
      <xdr:sp macro="" textlink="">
        <xdr:nvSpPr>
          <xdr:cNvPr id="37897" name="Rectangle 5">
            <a:extLst>
              <a:ext uri="{FF2B5EF4-FFF2-40B4-BE49-F238E27FC236}">
                <a16:creationId xmlns:a16="http://schemas.microsoft.com/office/drawing/2014/main" id="{00000000-0008-0000-0200-00000994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37898" name="Picture 6" descr="bicycle">
            <a:extLst>
              <a:ext uri="{FF2B5EF4-FFF2-40B4-BE49-F238E27FC236}">
                <a16:creationId xmlns:a16="http://schemas.microsoft.com/office/drawing/2014/main" id="{00000000-0008-0000-0200-00000A9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14353" name="Text Box 17">
          <a:extLst>
            <a:ext uri="{FF2B5EF4-FFF2-40B4-BE49-F238E27FC236}">
              <a16:creationId xmlns:a16="http://schemas.microsoft.com/office/drawing/2014/main" id="{00000000-0008-0000-0200-00001138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xdr:twoCellAnchor>
    <xdr:from>
      <xdr:col>2</xdr:col>
      <xdr:colOff>257175</xdr:colOff>
      <xdr:row>7</xdr:row>
      <xdr:rowOff>28575</xdr:rowOff>
    </xdr:from>
    <xdr:to>
      <xdr:col>2</xdr:col>
      <xdr:colOff>942975</xdr:colOff>
      <xdr:row>12</xdr:row>
      <xdr:rowOff>9525</xdr:rowOff>
    </xdr:to>
    <xdr:grpSp>
      <xdr:nvGrpSpPr>
        <xdr:cNvPr id="37890" name="Group 41">
          <a:extLst>
            <a:ext uri="{FF2B5EF4-FFF2-40B4-BE49-F238E27FC236}">
              <a16:creationId xmlns:a16="http://schemas.microsoft.com/office/drawing/2014/main" id="{00000000-0008-0000-0200-000002940000}"/>
            </a:ext>
          </a:extLst>
        </xdr:cNvPr>
        <xdr:cNvGrpSpPr>
          <a:grpSpLocks/>
        </xdr:cNvGrpSpPr>
      </xdr:nvGrpSpPr>
      <xdr:grpSpPr bwMode="auto">
        <a:xfrm>
          <a:off x="2551834" y="1431348"/>
          <a:ext cx="685800" cy="933450"/>
          <a:chOff x="268" y="140"/>
          <a:chExt cx="72" cy="98"/>
        </a:xfrm>
      </xdr:grpSpPr>
      <xdr:sp macro="" textlink="">
        <xdr:nvSpPr>
          <xdr:cNvPr id="37895" name="Rectangle 8">
            <a:extLst>
              <a:ext uri="{FF2B5EF4-FFF2-40B4-BE49-F238E27FC236}">
                <a16:creationId xmlns:a16="http://schemas.microsoft.com/office/drawing/2014/main" id="{00000000-0008-0000-0200-000007940000}"/>
              </a:ext>
            </a:extLst>
          </xdr:cNvPr>
          <xdr:cNvSpPr>
            <a:spLocks noChangeArrowheads="1"/>
          </xdr:cNvSpPr>
        </xdr:nvSpPr>
        <xdr:spPr bwMode="auto">
          <a:xfrm>
            <a:off x="271" y="144"/>
            <a:ext cx="69" cy="94"/>
          </a:xfrm>
          <a:prstGeom prst="rect">
            <a:avLst/>
          </a:prstGeom>
          <a:solidFill>
            <a:srgbClr val="808080"/>
          </a:solidFill>
          <a:ln w="9525">
            <a:solidFill>
              <a:srgbClr val="808080"/>
            </a:solidFill>
            <a:miter lim="800000"/>
            <a:headEnd/>
            <a:tailEnd/>
          </a:ln>
        </xdr:spPr>
      </xdr:sp>
      <xdr:pic>
        <xdr:nvPicPr>
          <xdr:cNvPr id="37896" name="Picture 39">
            <a:extLst>
              <a:ext uri="{FF2B5EF4-FFF2-40B4-BE49-F238E27FC236}">
                <a16:creationId xmlns:a16="http://schemas.microsoft.com/office/drawing/2014/main" id="{00000000-0008-0000-0200-0000089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 y="140"/>
            <a:ext cx="70" cy="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1457325</xdr:colOff>
      <xdr:row>7</xdr:row>
      <xdr:rowOff>19050</xdr:rowOff>
    </xdr:from>
    <xdr:to>
      <xdr:col>3</xdr:col>
      <xdr:colOff>1343025</xdr:colOff>
      <xdr:row>12</xdr:row>
      <xdr:rowOff>28575</xdr:rowOff>
    </xdr:to>
    <xdr:grpSp>
      <xdr:nvGrpSpPr>
        <xdr:cNvPr id="37891" name="Group 42">
          <a:extLst>
            <a:ext uri="{FF2B5EF4-FFF2-40B4-BE49-F238E27FC236}">
              <a16:creationId xmlns:a16="http://schemas.microsoft.com/office/drawing/2014/main" id="{00000000-0008-0000-0200-000003940000}"/>
            </a:ext>
          </a:extLst>
        </xdr:cNvPr>
        <xdr:cNvGrpSpPr>
          <a:grpSpLocks/>
        </xdr:cNvGrpSpPr>
      </xdr:nvGrpSpPr>
      <xdr:grpSpPr bwMode="auto">
        <a:xfrm>
          <a:off x="3751984" y="1421823"/>
          <a:ext cx="1392382" cy="962025"/>
          <a:chOff x="394" y="140"/>
          <a:chExt cx="146" cy="101"/>
        </a:xfrm>
      </xdr:grpSpPr>
      <xdr:sp macro="" textlink="">
        <xdr:nvSpPr>
          <xdr:cNvPr id="37893" name="Rectangle 11">
            <a:extLst>
              <a:ext uri="{FF2B5EF4-FFF2-40B4-BE49-F238E27FC236}">
                <a16:creationId xmlns:a16="http://schemas.microsoft.com/office/drawing/2014/main" id="{00000000-0008-0000-0200-000005940000}"/>
              </a:ext>
            </a:extLst>
          </xdr:cNvPr>
          <xdr:cNvSpPr>
            <a:spLocks noChangeArrowheads="1"/>
          </xdr:cNvSpPr>
        </xdr:nvSpPr>
        <xdr:spPr bwMode="auto">
          <a:xfrm>
            <a:off x="406" y="144"/>
            <a:ext cx="134" cy="97"/>
          </a:xfrm>
          <a:prstGeom prst="rect">
            <a:avLst/>
          </a:prstGeom>
          <a:solidFill>
            <a:srgbClr val="808080"/>
          </a:solidFill>
          <a:ln w="9525">
            <a:solidFill>
              <a:srgbClr val="808080"/>
            </a:solidFill>
            <a:miter lim="800000"/>
            <a:headEnd/>
            <a:tailEnd/>
          </a:ln>
        </xdr:spPr>
      </xdr:sp>
      <xdr:pic>
        <xdr:nvPicPr>
          <xdr:cNvPr id="37894" name="Picture 40">
            <a:extLst>
              <a:ext uri="{FF2B5EF4-FFF2-40B4-BE49-F238E27FC236}">
                <a16:creationId xmlns:a16="http://schemas.microsoft.com/office/drawing/2014/main" id="{00000000-0008-0000-0200-0000069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4" y="140"/>
            <a:ext cx="143"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14349" name="Drop Down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14350" name="Drop Down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14351" name="Drop Down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14354" name="Drop Down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533400</xdr:colOff>
          <xdr:row>16</xdr:row>
          <xdr:rowOff>9525</xdr:rowOff>
        </xdr:to>
        <xdr:sp macro="" textlink="">
          <xdr:nvSpPr>
            <xdr:cNvPr id="14355" name="Drop Down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295275</xdr:colOff>
      <xdr:row>5</xdr:row>
      <xdr:rowOff>133350</xdr:rowOff>
    </xdr:from>
    <xdr:to>
      <xdr:col>6</xdr:col>
      <xdr:colOff>1133475</xdr:colOff>
      <xdr:row>15</xdr:row>
      <xdr:rowOff>133350</xdr:rowOff>
    </xdr:to>
    <xdr:pic>
      <xdr:nvPicPr>
        <xdr:cNvPr id="37892" name="Picture 1">
          <a:extLst>
            <a:ext uri="{FF2B5EF4-FFF2-40B4-BE49-F238E27FC236}">
              <a16:creationId xmlns:a16="http://schemas.microsoft.com/office/drawing/2014/main" id="{00000000-0008-0000-0200-0000049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67350" y="1152525"/>
          <a:ext cx="313372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2</xdr:row>
      <xdr:rowOff>0</xdr:rowOff>
    </xdr:from>
    <xdr:to>
      <xdr:col>18</xdr:col>
      <xdr:colOff>161925</xdr:colOff>
      <xdr:row>27</xdr:row>
      <xdr:rowOff>200025</xdr:rowOff>
    </xdr:to>
    <xdr:sp macro="" textlink="">
      <xdr:nvSpPr>
        <xdr:cNvPr id="22" name="Rectangle: Rounded Corners 21">
          <a:extLst>
            <a:ext uri="{FF2B5EF4-FFF2-40B4-BE49-F238E27FC236}">
              <a16:creationId xmlns:a16="http://schemas.microsoft.com/office/drawing/2014/main" id="{00000000-0008-0000-0200-000016000000}"/>
            </a:ext>
          </a:extLst>
        </xdr:cNvPr>
        <xdr:cNvSpPr/>
      </xdr:nvSpPr>
      <xdr:spPr>
        <a:xfrm>
          <a:off x="9934575" y="466725"/>
          <a:ext cx="2981325" cy="5057775"/>
        </a:xfrm>
        <a:prstGeom prst="roundRect">
          <a:avLst/>
        </a:prstGeom>
        <a:solidFill>
          <a:schemeClr val="bg1">
            <a:lumMod val="65000"/>
          </a:schemeClr>
        </a:solidFill>
        <a:ln>
          <a:solidFill>
            <a:schemeClr val="bg1">
              <a:lumMod val="6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16</xdr:col>
      <xdr:colOff>28575</xdr:colOff>
      <xdr:row>4</xdr:row>
      <xdr:rowOff>180975</xdr:rowOff>
    </xdr:from>
    <xdr:to>
      <xdr:col>17</xdr:col>
      <xdr:colOff>666750</xdr:colOff>
      <xdr:row>27</xdr:row>
      <xdr:rowOff>200025</xdr:rowOff>
    </xdr:to>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9963150" y="1009650"/>
          <a:ext cx="149542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Feature</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- 8-colour ink system</a:t>
          </a: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 "Mirrored"</a:t>
          </a:r>
          <a:r>
            <a:rPr lang="en-AU" sz="1100" baseline="0">
              <a:latin typeface="Poppins" panose="00000500000000000000" pitchFamily="2" charset="0"/>
              <a:cs typeface="Poppins" panose="00000500000000000000" pitchFamily="2" charset="0"/>
            </a:rPr>
            <a:t> </a:t>
          </a:r>
          <a:r>
            <a:rPr lang="en-AU" sz="1100">
              <a:latin typeface="Poppins" panose="00000500000000000000" pitchFamily="2" charset="0"/>
              <a:cs typeface="Poppins" panose="00000500000000000000" pitchFamily="2" charset="0"/>
            </a:rPr>
            <a:t>channels for frequestly used colours</a:t>
          </a: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 Optional Multifunctional Roll Unit (RU-xx)</a:t>
          </a: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 Borderless Printing</a:t>
          </a:r>
        </a:p>
      </xdr:txBody>
    </xdr:sp>
    <xdr:clientData/>
  </xdr:twoCellAnchor>
  <xdr:twoCellAnchor>
    <xdr:from>
      <xdr:col>17</xdr:col>
      <xdr:colOff>657225</xdr:colOff>
      <xdr:row>5</xdr:row>
      <xdr:rowOff>0</xdr:rowOff>
    </xdr:from>
    <xdr:to>
      <xdr:col>18</xdr:col>
      <xdr:colOff>95250</xdr:colOff>
      <xdr:row>27</xdr:row>
      <xdr:rowOff>209550</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11449050" y="1019175"/>
          <a:ext cx="140017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Benefits</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 Balance between image quality and productivity</a:t>
          </a:r>
        </a:p>
        <a:p>
          <a:pPr algn="ctr"/>
          <a:endParaRPr lang="en-AU" sz="1100">
            <a:latin typeface="Poppins" panose="00000500000000000000" pitchFamily="2" charset="0"/>
            <a:cs typeface="Poppins" panose="00000500000000000000" pitchFamily="2" charset="0"/>
          </a:endParaRPr>
        </a:p>
        <a:p>
          <a:pPr algn="ctr"/>
          <a:r>
            <a:rPr lang="en-AU" sz="1100">
              <a:latin typeface="Poppins" panose="00000500000000000000" pitchFamily="2" charset="0"/>
              <a:cs typeface="Poppins" panose="00000500000000000000" pitchFamily="2" charset="0"/>
            </a:rPr>
            <a:t>-</a:t>
          </a:r>
          <a:r>
            <a:rPr lang="en-AU" sz="1100" baseline="0">
              <a:latin typeface="Poppins" panose="00000500000000000000" pitchFamily="2" charset="0"/>
              <a:cs typeface="Poppins" panose="00000500000000000000" pitchFamily="2" charset="0"/>
            </a:rPr>
            <a:t> Reduce "banding" and maintain high speeds</a:t>
          </a:r>
        </a:p>
        <a:p>
          <a:pPr algn="ctr"/>
          <a:endParaRPr lang="en-AU" sz="1100" baseline="0">
            <a:latin typeface="Poppins" panose="00000500000000000000" pitchFamily="2" charset="0"/>
            <a:cs typeface="Poppins" panose="00000500000000000000" pitchFamily="2" charset="0"/>
          </a:endParaRPr>
        </a:p>
        <a:p>
          <a:pPr algn="ctr"/>
          <a:r>
            <a:rPr lang="en-AU" sz="1100" baseline="0">
              <a:latin typeface="Poppins" panose="00000500000000000000" pitchFamily="2" charset="0"/>
              <a:cs typeface="Poppins" panose="00000500000000000000" pitchFamily="2" charset="0"/>
            </a:rPr>
            <a:t>- Load two media rolls simultaneously OR print roll-to-roll</a:t>
          </a:r>
        </a:p>
        <a:p>
          <a:pPr algn="ctr"/>
          <a:endParaRPr lang="en-AU" sz="1100" baseline="0">
            <a:latin typeface="Poppins" panose="00000500000000000000" pitchFamily="2" charset="0"/>
            <a:cs typeface="Poppins" panose="00000500000000000000" pitchFamily="2" charset="0"/>
          </a:endParaRPr>
        </a:p>
        <a:p>
          <a:pPr algn="ctr"/>
          <a:r>
            <a:rPr lang="en-AU" sz="1100" baseline="0">
              <a:latin typeface="Poppins" panose="00000500000000000000" pitchFamily="2" charset="0"/>
              <a:cs typeface="Poppins" panose="00000500000000000000" pitchFamily="2" charset="0"/>
            </a:rPr>
            <a:t>- Reduced finishing time</a:t>
          </a:r>
          <a:endParaRPr lang="en-AU" sz="1100">
            <a:latin typeface="Poppins" panose="00000500000000000000" pitchFamily="2" charset="0"/>
            <a:cs typeface="Poppins" panose="00000500000000000000" pitchFamily="2" charset="0"/>
          </a:endParaRPr>
        </a:p>
      </xdr:txBody>
    </xdr:sp>
    <xdr:clientData/>
  </xdr:twoCellAnchor>
  <xdr:twoCellAnchor>
    <xdr:from>
      <xdr:col>16</xdr:col>
      <xdr:colOff>57150</xdr:colOff>
      <xdr:row>2</xdr:row>
      <xdr:rowOff>152400</xdr:rowOff>
    </xdr:from>
    <xdr:to>
      <xdr:col>18</xdr:col>
      <xdr:colOff>114300</xdr:colOff>
      <xdr:row>4</xdr:row>
      <xdr:rowOff>171450</xdr:rowOff>
    </xdr:to>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9991725" y="619125"/>
          <a:ext cx="28765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Key Selling</a:t>
          </a:r>
          <a:r>
            <a:rPr lang="en-AU" sz="1100" b="1" u="sng" baseline="0">
              <a:latin typeface="Poppins" panose="00000500000000000000" pitchFamily="2" charset="0"/>
              <a:cs typeface="Poppins" panose="00000500000000000000" pitchFamily="2" charset="0"/>
            </a:rPr>
            <a:t> Points</a:t>
          </a:r>
        </a:p>
      </xdr:txBody>
    </xdr:sp>
    <xdr:clientData/>
  </xdr:twoCellAnchor>
  <xdr:twoCellAnchor>
    <xdr:from>
      <xdr:col>16</xdr:col>
      <xdr:colOff>545523</xdr:colOff>
      <xdr:row>12</xdr:row>
      <xdr:rowOff>77932</xdr:rowOff>
    </xdr:from>
    <xdr:to>
      <xdr:col>17</xdr:col>
      <xdr:colOff>1581550</xdr:colOff>
      <xdr:row>12</xdr:row>
      <xdr:rowOff>79397</xdr:rowOff>
    </xdr:to>
    <xdr:cxnSp macro="">
      <xdr:nvCxnSpPr>
        <xdr:cNvPr id="26" name="Straight Connector 25">
          <a:extLst>
            <a:ext uri="{FF2B5EF4-FFF2-40B4-BE49-F238E27FC236}">
              <a16:creationId xmlns:a16="http://schemas.microsoft.com/office/drawing/2014/main" id="{00000000-0008-0000-0200-00001A000000}"/>
            </a:ext>
          </a:extLst>
        </xdr:cNvPr>
        <xdr:cNvCxnSpPr/>
      </xdr:nvCxnSpPr>
      <xdr:spPr>
        <a:xfrm flipV="1">
          <a:off x="10477500" y="2433205"/>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542059</xdr:colOff>
      <xdr:row>17</xdr:row>
      <xdr:rowOff>126423</xdr:rowOff>
    </xdr:from>
    <xdr:to>
      <xdr:col>17</xdr:col>
      <xdr:colOff>1578086</xdr:colOff>
      <xdr:row>17</xdr:row>
      <xdr:rowOff>127888</xdr:rowOff>
    </xdr:to>
    <xdr:cxnSp macro="">
      <xdr:nvCxnSpPr>
        <xdr:cNvPr id="27" name="Straight Connector 26">
          <a:extLst>
            <a:ext uri="{FF2B5EF4-FFF2-40B4-BE49-F238E27FC236}">
              <a16:creationId xmlns:a16="http://schemas.microsoft.com/office/drawing/2014/main" id="{00000000-0008-0000-0200-00001B000000}"/>
            </a:ext>
          </a:extLst>
        </xdr:cNvPr>
        <xdr:cNvCxnSpPr/>
      </xdr:nvCxnSpPr>
      <xdr:spPr>
        <a:xfrm flipV="1">
          <a:off x="10474036" y="3512128"/>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529936</xdr:colOff>
      <xdr:row>24</xdr:row>
      <xdr:rowOff>27710</xdr:rowOff>
    </xdr:from>
    <xdr:to>
      <xdr:col>17</xdr:col>
      <xdr:colOff>1565963</xdr:colOff>
      <xdr:row>24</xdr:row>
      <xdr:rowOff>29175</xdr:rowOff>
    </xdr:to>
    <xdr:cxnSp macro="">
      <xdr:nvCxnSpPr>
        <xdr:cNvPr id="28" name="Straight Connector 27">
          <a:extLst>
            <a:ext uri="{FF2B5EF4-FFF2-40B4-BE49-F238E27FC236}">
              <a16:creationId xmlns:a16="http://schemas.microsoft.com/office/drawing/2014/main" id="{00000000-0008-0000-0200-00001C000000}"/>
            </a:ext>
          </a:extLst>
        </xdr:cNvPr>
        <xdr:cNvCxnSpPr/>
      </xdr:nvCxnSpPr>
      <xdr:spPr>
        <a:xfrm flipV="1">
          <a:off x="10461913" y="4746915"/>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7</xdr:row>
      <xdr:rowOff>47625</xdr:rowOff>
    </xdr:from>
    <xdr:to>
      <xdr:col>1</xdr:col>
      <xdr:colOff>1076325</xdr:colOff>
      <xdr:row>11</xdr:row>
      <xdr:rowOff>152400</xdr:rowOff>
    </xdr:to>
    <xdr:grpSp>
      <xdr:nvGrpSpPr>
        <xdr:cNvPr id="28330" name="Group 20">
          <a:extLst>
            <a:ext uri="{FF2B5EF4-FFF2-40B4-BE49-F238E27FC236}">
              <a16:creationId xmlns:a16="http://schemas.microsoft.com/office/drawing/2014/main" id="{00000000-0008-0000-0300-0000AA6E0000}"/>
            </a:ext>
          </a:extLst>
        </xdr:cNvPr>
        <xdr:cNvGrpSpPr>
          <a:grpSpLocks/>
        </xdr:cNvGrpSpPr>
      </xdr:nvGrpSpPr>
      <xdr:grpSpPr bwMode="auto">
        <a:xfrm>
          <a:off x="863311" y="1450398"/>
          <a:ext cx="819150" cy="866775"/>
          <a:chOff x="130" y="141"/>
          <a:chExt cx="86" cy="91"/>
        </a:xfrm>
      </xdr:grpSpPr>
      <xdr:sp macro="" textlink="">
        <xdr:nvSpPr>
          <xdr:cNvPr id="28339" name="Rectangle 8">
            <a:extLst>
              <a:ext uri="{FF2B5EF4-FFF2-40B4-BE49-F238E27FC236}">
                <a16:creationId xmlns:a16="http://schemas.microsoft.com/office/drawing/2014/main" id="{00000000-0008-0000-0300-0000B36E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28340" name="Picture 11" descr="bicycle">
            <a:extLst>
              <a:ext uri="{FF2B5EF4-FFF2-40B4-BE49-F238E27FC236}">
                <a16:creationId xmlns:a16="http://schemas.microsoft.com/office/drawing/2014/main" id="{00000000-0008-0000-0300-0000B46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0</xdr:colOff>
      <xdr:row>7</xdr:row>
      <xdr:rowOff>9525</xdr:rowOff>
    </xdr:from>
    <xdr:to>
      <xdr:col>2</xdr:col>
      <xdr:colOff>1333500</xdr:colOff>
      <xdr:row>11</xdr:row>
      <xdr:rowOff>180975</xdr:rowOff>
    </xdr:to>
    <xdr:grpSp>
      <xdr:nvGrpSpPr>
        <xdr:cNvPr id="28331" name="Group 21">
          <a:extLst>
            <a:ext uri="{FF2B5EF4-FFF2-40B4-BE49-F238E27FC236}">
              <a16:creationId xmlns:a16="http://schemas.microsoft.com/office/drawing/2014/main" id="{00000000-0008-0000-0300-0000AB6E0000}"/>
            </a:ext>
          </a:extLst>
        </xdr:cNvPr>
        <xdr:cNvGrpSpPr>
          <a:grpSpLocks/>
        </xdr:cNvGrpSpPr>
      </xdr:nvGrpSpPr>
      <xdr:grpSpPr bwMode="auto">
        <a:xfrm>
          <a:off x="2294659" y="1412298"/>
          <a:ext cx="1333500" cy="933450"/>
          <a:chOff x="246" y="148"/>
          <a:chExt cx="122" cy="98"/>
        </a:xfrm>
      </xdr:grpSpPr>
      <xdr:sp macro="" textlink="">
        <xdr:nvSpPr>
          <xdr:cNvPr id="28337" name="Rectangle 7">
            <a:extLst>
              <a:ext uri="{FF2B5EF4-FFF2-40B4-BE49-F238E27FC236}">
                <a16:creationId xmlns:a16="http://schemas.microsoft.com/office/drawing/2014/main" id="{00000000-0008-0000-0300-0000B16E0000}"/>
              </a:ext>
            </a:extLst>
          </xdr:cNvPr>
          <xdr:cNvSpPr>
            <a:spLocks noChangeArrowheads="1"/>
          </xdr:cNvSpPr>
        </xdr:nvSpPr>
        <xdr:spPr bwMode="auto">
          <a:xfrm>
            <a:off x="248" y="151"/>
            <a:ext cx="120" cy="95"/>
          </a:xfrm>
          <a:prstGeom prst="rect">
            <a:avLst/>
          </a:prstGeom>
          <a:solidFill>
            <a:srgbClr val="808080"/>
          </a:solidFill>
          <a:ln w="9525">
            <a:solidFill>
              <a:srgbClr val="808080"/>
            </a:solidFill>
            <a:miter lim="800000"/>
            <a:headEnd/>
            <a:tailEnd/>
          </a:ln>
        </xdr:spPr>
      </xdr:sp>
      <xdr:pic>
        <xdr:nvPicPr>
          <xdr:cNvPr id="28338" name="Picture 12">
            <a:extLst>
              <a:ext uri="{FF2B5EF4-FFF2-40B4-BE49-F238E27FC236}">
                <a16:creationId xmlns:a16="http://schemas.microsoft.com/office/drawing/2014/main" id="{00000000-0008-0000-0300-0000B26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 y="148"/>
            <a:ext cx="118" cy="9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333375</xdr:colOff>
      <xdr:row>6</xdr:row>
      <xdr:rowOff>180975</xdr:rowOff>
    </xdr:from>
    <xdr:to>
      <xdr:col>3</xdr:col>
      <xdr:colOff>1123950</xdr:colOff>
      <xdr:row>12</xdr:row>
      <xdr:rowOff>9525</xdr:rowOff>
    </xdr:to>
    <xdr:grpSp>
      <xdr:nvGrpSpPr>
        <xdr:cNvPr id="28332" name="Group 22">
          <a:extLst>
            <a:ext uri="{FF2B5EF4-FFF2-40B4-BE49-F238E27FC236}">
              <a16:creationId xmlns:a16="http://schemas.microsoft.com/office/drawing/2014/main" id="{00000000-0008-0000-0300-0000AC6E0000}"/>
            </a:ext>
          </a:extLst>
        </xdr:cNvPr>
        <xdr:cNvGrpSpPr>
          <a:grpSpLocks/>
        </xdr:cNvGrpSpPr>
      </xdr:nvGrpSpPr>
      <xdr:grpSpPr bwMode="auto">
        <a:xfrm>
          <a:off x="4134716" y="1393248"/>
          <a:ext cx="790575" cy="971550"/>
          <a:chOff x="432" y="142"/>
          <a:chExt cx="83" cy="102"/>
        </a:xfrm>
      </xdr:grpSpPr>
      <xdr:sp macro="" textlink="">
        <xdr:nvSpPr>
          <xdr:cNvPr id="28335" name="Rectangle 6">
            <a:extLst>
              <a:ext uri="{FF2B5EF4-FFF2-40B4-BE49-F238E27FC236}">
                <a16:creationId xmlns:a16="http://schemas.microsoft.com/office/drawing/2014/main" id="{00000000-0008-0000-0300-0000AF6E0000}"/>
              </a:ext>
            </a:extLst>
          </xdr:cNvPr>
          <xdr:cNvSpPr>
            <a:spLocks noChangeArrowheads="1"/>
          </xdr:cNvSpPr>
        </xdr:nvSpPr>
        <xdr:spPr bwMode="auto">
          <a:xfrm>
            <a:off x="434" y="145"/>
            <a:ext cx="81" cy="99"/>
          </a:xfrm>
          <a:prstGeom prst="rect">
            <a:avLst/>
          </a:prstGeom>
          <a:solidFill>
            <a:srgbClr val="808080"/>
          </a:solidFill>
          <a:ln w="9525">
            <a:solidFill>
              <a:srgbClr val="808080"/>
            </a:solidFill>
            <a:miter lim="800000"/>
            <a:headEnd/>
            <a:tailEnd/>
          </a:ln>
        </xdr:spPr>
      </xdr:sp>
      <xdr:pic>
        <xdr:nvPicPr>
          <xdr:cNvPr id="28336" name="Picture 13">
            <a:extLst>
              <a:ext uri="{FF2B5EF4-FFF2-40B4-BE49-F238E27FC236}">
                <a16:creationId xmlns:a16="http://schemas.microsoft.com/office/drawing/2014/main" id="{00000000-0008-0000-0300-0000B06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2" y="142"/>
            <a:ext cx="79" cy="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12" name="Text Box 35">
          <a:extLst>
            <a:ext uri="{FF2B5EF4-FFF2-40B4-BE49-F238E27FC236}">
              <a16:creationId xmlns:a16="http://schemas.microsoft.com/office/drawing/2014/main" id="{00000000-0008-0000-0300-00000C0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533400</xdr:colOff>
          <xdr:row>15</xdr:row>
          <xdr:rowOff>19050</xdr:rowOff>
        </xdr:to>
        <xdr:sp macro="" textlink="">
          <xdr:nvSpPr>
            <xdr:cNvPr id="27649" name="Drop Down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533400</xdr:colOff>
          <xdr:row>16</xdr:row>
          <xdr:rowOff>9525</xdr:rowOff>
        </xdr:to>
        <xdr:sp macro="" textlink="">
          <xdr:nvSpPr>
            <xdr:cNvPr id="27650" name="Drop Down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27651" name="Drop Down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27652" name="Drop Down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27653" name="Drop Down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647700</xdr:colOff>
      <xdr:row>4</xdr:row>
      <xdr:rowOff>171449</xdr:rowOff>
    </xdr:from>
    <xdr:to>
      <xdr:col>6</xdr:col>
      <xdr:colOff>1219200</xdr:colOff>
      <xdr:row>16</xdr:row>
      <xdr:rowOff>35717</xdr:rowOff>
    </xdr:to>
    <xdr:pic>
      <xdr:nvPicPr>
        <xdr:cNvPr id="19" name="Picture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8050" b="92823" l="9964" r="90327">
                      <a14:foregroundMark x1="25818" y1="92919" x2="24800" y2="92629"/>
                      <a14:foregroundMark x1="10836" y1="11542" x2="14182" y2="9990"/>
                      <a14:foregroundMark x1="22036" y1="12415" x2="23491" y2="13288"/>
                      <a14:foregroundMark x1="62982" y1="8244" x2="72582" y2="8147"/>
                      <a14:foregroundMark x1="72582" y1="8147" x2="73309" y2="8632"/>
                      <a14:foregroundMark x1="90327" y1="22211" x2="90036" y2="23957"/>
                    </a14:backgroundRemoval>
                  </a14:imgEffect>
                </a14:imgLayer>
              </a14:imgProps>
            </a:ext>
            <a:ext uri="{28A0092B-C50C-407E-A947-70E740481C1C}">
              <a14:useLocalDpi xmlns:a14="http://schemas.microsoft.com/office/drawing/2010/main" val="0"/>
            </a:ext>
          </a:extLst>
        </a:blip>
        <a:srcRect/>
        <a:stretch>
          <a:fillRect/>
        </a:stretch>
      </xdr:blipFill>
      <xdr:spPr bwMode="auto">
        <a:xfrm>
          <a:off x="5819775" y="1000124"/>
          <a:ext cx="2867025" cy="215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0</xdr:colOff>
      <xdr:row>2</xdr:row>
      <xdr:rowOff>0</xdr:rowOff>
    </xdr:from>
    <xdr:to>
      <xdr:col>18</xdr:col>
      <xdr:colOff>161925</xdr:colOff>
      <xdr:row>27</xdr:row>
      <xdr:rowOff>209550</xdr:rowOff>
    </xdr:to>
    <xdr:sp macro="" textlink="">
      <xdr:nvSpPr>
        <xdr:cNvPr id="20" name="Rectangle: Rounded Corners 19">
          <a:extLst>
            <a:ext uri="{FF2B5EF4-FFF2-40B4-BE49-F238E27FC236}">
              <a16:creationId xmlns:a16="http://schemas.microsoft.com/office/drawing/2014/main" id="{00000000-0008-0000-0300-000014000000}"/>
            </a:ext>
          </a:extLst>
        </xdr:cNvPr>
        <xdr:cNvSpPr/>
      </xdr:nvSpPr>
      <xdr:spPr>
        <a:xfrm>
          <a:off x="9963150" y="466725"/>
          <a:ext cx="2981325" cy="5057775"/>
        </a:xfrm>
        <a:prstGeom prst="roundRect">
          <a:avLst/>
        </a:prstGeom>
        <a:solidFill>
          <a:schemeClr val="bg1">
            <a:lumMod val="65000"/>
          </a:schemeClr>
        </a:solidFill>
        <a:ln>
          <a:solidFill>
            <a:schemeClr val="bg1">
              <a:lumMod val="6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16</xdr:col>
      <xdr:colOff>28575</xdr:colOff>
      <xdr:row>4</xdr:row>
      <xdr:rowOff>180975</xdr:rowOff>
    </xdr:from>
    <xdr:to>
      <xdr:col>17</xdr:col>
      <xdr:colOff>666750</xdr:colOff>
      <xdr:row>27</xdr:row>
      <xdr:rowOff>209550</xdr:rowOff>
    </xdr:to>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9991725" y="1009650"/>
          <a:ext cx="149542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Feature</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Flourescent Pink ink tank</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Optional 300ml ink tanks</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Pigment Ink</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Borderless Printing</a:t>
          </a:r>
        </a:p>
      </xdr:txBody>
    </xdr:sp>
    <xdr:clientData/>
  </xdr:twoCellAnchor>
  <xdr:twoCellAnchor>
    <xdr:from>
      <xdr:col>17</xdr:col>
      <xdr:colOff>657225</xdr:colOff>
      <xdr:row>5</xdr:row>
      <xdr:rowOff>0</xdr:rowOff>
    </xdr:from>
    <xdr:to>
      <xdr:col>18</xdr:col>
      <xdr:colOff>95250</xdr:colOff>
      <xdr:row>27</xdr:row>
      <xdr:rowOff>219075</xdr:rowOff>
    </xdr:to>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1477625" y="1019175"/>
          <a:ext cx="140017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Benefits</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a:t>
          </a:r>
          <a:r>
            <a:rPr lang="en-AU" sz="1100" baseline="0">
              <a:latin typeface="Poppins" panose="00000500000000000000" pitchFamily="2" charset="0"/>
              <a:cs typeface="Poppins" panose="00000500000000000000" pitchFamily="2" charset="0"/>
            </a:rPr>
            <a:t> Enhanced colour vibrancy and midtones</a:t>
          </a:r>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a:t>
          </a:r>
          <a:r>
            <a:rPr lang="en-AU" sz="1100" baseline="0">
              <a:latin typeface="Poppins" panose="00000500000000000000" pitchFamily="2" charset="0"/>
              <a:cs typeface="Poppins" panose="00000500000000000000" pitchFamily="2" charset="0"/>
            </a:rPr>
            <a:t> Reduced running costs and ink changes</a:t>
          </a: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Enhanced durability against sunlight and water</a:t>
          </a: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Reduced finishing time</a:t>
          </a:r>
          <a:endParaRPr lang="en-AU" sz="1100">
            <a:latin typeface="Poppins" panose="00000500000000000000" pitchFamily="2" charset="0"/>
            <a:cs typeface="Poppins" panose="00000500000000000000" pitchFamily="2" charset="0"/>
          </a:endParaRPr>
        </a:p>
      </xdr:txBody>
    </xdr:sp>
    <xdr:clientData/>
  </xdr:twoCellAnchor>
  <xdr:twoCellAnchor>
    <xdr:from>
      <xdr:col>16</xdr:col>
      <xdr:colOff>57150</xdr:colOff>
      <xdr:row>2</xdr:row>
      <xdr:rowOff>152400</xdr:rowOff>
    </xdr:from>
    <xdr:to>
      <xdr:col>18</xdr:col>
      <xdr:colOff>114300</xdr:colOff>
      <xdr:row>4</xdr:row>
      <xdr:rowOff>171450</xdr:rowOff>
    </xdr:to>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0020300" y="619125"/>
          <a:ext cx="28765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Key Selling</a:t>
          </a:r>
          <a:r>
            <a:rPr lang="en-AU" sz="1100" b="1" u="sng" baseline="0">
              <a:latin typeface="Poppins" panose="00000500000000000000" pitchFamily="2" charset="0"/>
              <a:cs typeface="Poppins" panose="00000500000000000000" pitchFamily="2" charset="0"/>
            </a:rPr>
            <a:t> Points</a:t>
          </a:r>
        </a:p>
      </xdr:txBody>
    </xdr:sp>
    <xdr:clientData/>
  </xdr:twoCellAnchor>
  <xdr:twoCellAnchor>
    <xdr:from>
      <xdr:col>16</xdr:col>
      <xdr:colOff>528204</xdr:colOff>
      <xdr:row>11</xdr:row>
      <xdr:rowOff>69273</xdr:rowOff>
    </xdr:from>
    <xdr:to>
      <xdr:col>17</xdr:col>
      <xdr:colOff>1564231</xdr:colOff>
      <xdr:row>11</xdr:row>
      <xdr:rowOff>70738</xdr:rowOff>
    </xdr:to>
    <xdr:cxnSp macro="">
      <xdr:nvCxnSpPr>
        <xdr:cNvPr id="24" name="Straight Connector 23">
          <a:extLst>
            <a:ext uri="{FF2B5EF4-FFF2-40B4-BE49-F238E27FC236}">
              <a16:creationId xmlns:a16="http://schemas.microsoft.com/office/drawing/2014/main" id="{00000000-0008-0000-0300-000018000000}"/>
            </a:ext>
          </a:extLst>
        </xdr:cNvPr>
        <xdr:cNvCxnSpPr/>
      </xdr:nvCxnSpPr>
      <xdr:spPr>
        <a:xfrm flipV="1">
          <a:off x="10486159" y="2234046"/>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464127</xdr:colOff>
      <xdr:row>15</xdr:row>
      <xdr:rowOff>178378</xdr:rowOff>
    </xdr:from>
    <xdr:to>
      <xdr:col>17</xdr:col>
      <xdr:colOff>1500154</xdr:colOff>
      <xdr:row>15</xdr:row>
      <xdr:rowOff>179843</xdr:rowOff>
    </xdr:to>
    <xdr:cxnSp macro="">
      <xdr:nvCxnSpPr>
        <xdr:cNvPr id="25" name="Straight Connector 24">
          <a:extLst>
            <a:ext uri="{FF2B5EF4-FFF2-40B4-BE49-F238E27FC236}">
              <a16:creationId xmlns:a16="http://schemas.microsoft.com/office/drawing/2014/main" id="{00000000-0008-0000-0300-000019000000}"/>
            </a:ext>
          </a:extLst>
        </xdr:cNvPr>
        <xdr:cNvCxnSpPr/>
      </xdr:nvCxnSpPr>
      <xdr:spPr>
        <a:xfrm flipV="1">
          <a:off x="10422082" y="3105151"/>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460663</xdr:colOff>
      <xdr:row>21</xdr:row>
      <xdr:rowOff>19051</xdr:rowOff>
    </xdr:from>
    <xdr:to>
      <xdr:col>17</xdr:col>
      <xdr:colOff>1496690</xdr:colOff>
      <xdr:row>21</xdr:row>
      <xdr:rowOff>20516</xdr:rowOff>
    </xdr:to>
    <xdr:cxnSp macro="">
      <xdr:nvCxnSpPr>
        <xdr:cNvPr id="26" name="Straight Connector 25">
          <a:extLst>
            <a:ext uri="{FF2B5EF4-FFF2-40B4-BE49-F238E27FC236}">
              <a16:creationId xmlns:a16="http://schemas.microsoft.com/office/drawing/2014/main" id="{00000000-0008-0000-0300-00001A000000}"/>
            </a:ext>
          </a:extLst>
        </xdr:cNvPr>
        <xdr:cNvCxnSpPr/>
      </xdr:nvCxnSpPr>
      <xdr:spPr>
        <a:xfrm flipV="1">
          <a:off x="10418618" y="4088824"/>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7</xdr:row>
      <xdr:rowOff>66675</xdr:rowOff>
    </xdr:from>
    <xdr:to>
      <xdr:col>1</xdr:col>
      <xdr:colOff>1076325</xdr:colOff>
      <xdr:row>11</xdr:row>
      <xdr:rowOff>171450</xdr:rowOff>
    </xdr:to>
    <xdr:grpSp>
      <xdr:nvGrpSpPr>
        <xdr:cNvPr id="27398" name="Group 4">
          <a:extLst>
            <a:ext uri="{FF2B5EF4-FFF2-40B4-BE49-F238E27FC236}">
              <a16:creationId xmlns:a16="http://schemas.microsoft.com/office/drawing/2014/main" id="{00000000-0008-0000-0400-0000066B0000}"/>
            </a:ext>
          </a:extLst>
        </xdr:cNvPr>
        <xdr:cNvGrpSpPr>
          <a:grpSpLocks/>
        </xdr:cNvGrpSpPr>
      </xdr:nvGrpSpPr>
      <xdr:grpSpPr bwMode="auto">
        <a:xfrm>
          <a:off x="866775" y="1381125"/>
          <a:ext cx="819150" cy="866775"/>
          <a:chOff x="130" y="141"/>
          <a:chExt cx="86" cy="91"/>
        </a:xfrm>
      </xdr:grpSpPr>
      <xdr:sp macro="" textlink="">
        <xdr:nvSpPr>
          <xdr:cNvPr id="27408" name="Rectangle 5">
            <a:extLst>
              <a:ext uri="{FF2B5EF4-FFF2-40B4-BE49-F238E27FC236}">
                <a16:creationId xmlns:a16="http://schemas.microsoft.com/office/drawing/2014/main" id="{00000000-0008-0000-0400-0000106B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27409" name="Picture 6" descr="bicycle">
            <a:extLst>
              <a:ext uri="{FF2B5EF4-FFF2-40B4-BE49-F238E27FC236}">
                <a16:creationId xmlns:a16="http://schemas.microsoft.com/office/drawing/2014/main" id="{00000000-0008-0000-0400-0000116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7" name="Text Box 17">
          <a:extLst>
            <a:ext uri="{FF2B5EF4-FFF2-40B4-BE49-F238E27FC236}">
              <a16:creationId xmlns:a16="http://schemas.microsoft.com/office/drawing/2014/main" id="{00000000-0008-0000-0400-0000070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Arial"/>
              <a:cs typeface="Arial"/>
            </a:rPr>
            <a:t>Custom Cost Per Print Analysis Tool</a:t>
          </a:r>
        </a:p>
      </xdr:txBody>
    </xdr:sp>
    <xdr:clientData/>
  </xdr:twoCellAnchor>
  <xdr:twoCellAnchor>
    <xdr:from>
      <xdr:col>2</xdr:col>
      <xdr:colOff>257175</xdr:colOff>
      <xdr:row>7</xdr:row>
      <xdr:rowOff>28575</xdr:rowOff>
    </xdr:from>
    <xdr:to>
      <xdr:col>2</xdr:col>
      <xdr:colOff>942975</xdr:colOff>
      <xdr:row>12</xdr:row>
      <xdr:rowOff>9525</xdr:rowOff>
    </xdr:to>
    <xdr:grpSp>
      <xdr:nvGrpSpPr>
        <xdr:cNvPr id="27400" name="Group 41">
          <a:extLst>
            <a:ext uri="{FF2B5EF4-FFF2-40B4-BE49-F238E27FC236}">
              <a16:creationId xmlns:a16="http://schemas.microsoft.com/office/drawing/2014/main" id="{00000000-0008-0000-0400-0000086B0000}"/>
            </a:ext>
          </a:extLst>
        </xdr:cNvPr>
        <xdr:cNvGrpSpPr>
          <a:grpSpLocks/>
        </xdr:cNvGrpSpPr>
      </xdr:nvGrpSpPr>
      <xdr:grpSpPr bwMode="auto">
        <a:xfrm>
          <a:off x="2552700" y="1343025"/>
          <a:ext cx="685800" cy="933450"/>
          <a:chOff x="268" y="140"/>
          <a:chExt cx="72" cy="98"/>
        </a:xfrm>
      </xdr:grpSpPr>
      <xdr:sp macro="" textlink="">
        <xdr:nvSpPr>
          <xdr:cNvPr id="27406" name="Rectangle 8">
            <a:extLst>
              <a:ext uri="{FF2B5EF4-FFF2-40B4-BE49-F238E27FC236}">
                <a16:creationId xmlns:a16="http://schemas.microsoft.com/office/drawing/2014/main" id="{00000000-0008-0000-0400-00000E6B0000}"/>
              </a:ext>
            </a:extLst>
          </xdr:cNvPr>
          <xdr:cNvSpPr>
            <a:spLocks noChangeArrowheads="1"/>
          </xdr:cNvSpPr>
        </xdr:nvSpPr>
        <xdr:spPr bwMode="auto">
          <a:xfrm>
            <a:off x="271" y="144"/>
            <a:ext cx="69" cy="94"/>
          </a:xfrm>
          <a:prstGeom prst="rect">
            <a:avLst/>
          </a:prstGeom>
          <a:solidFill>
            <a:srgbClr val="808080"/>
          </a:solidFill>
          <a:ln w="9525">
            <a:solidFill>
              <a:srgbClr val="808080"/>
            </a:solidFill>
            <a:miter lim="800000"/>
            <a:headEnd/>
            <a:tailEnd/>
          </a:ln>
        </xdr:spPr>
      </xdr:sp>
      <xdr:pic>
        <xdr:nvPicPr>
          <xdr:cNvPr id="27407" name="Picture 39">
            <a:extLst>
              <a:ext uri="{FF2B5EF4-FFF2-40B4-BE49-F238E27FC236}">
                <a16:creationId xmlns:a16="http://schemas.microsoft.com/office/drawing/2014/main" id="{00000000-0008-0000-0400-00000F6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 y="140"/>
            <a:ext cx="70" cy="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1457325</xdr:colOff>
      <xdr:row>7</xdr:row>
      <xdr:rowOff>19050</xdr:rowOff>
    </xdr:from>
    <xdr:to>
      <xdr:col>3</xdr:col>
      <xdr:colOff>1343025</xdr:colOff>
      <xdr:row>12</xdr:row>
      <xdr:rowOff>28575</xdr:rowOff>
    </xdr:to>
    <xdr:grpSp>
      <xdr:nvGrpSpPr>
        <xdr:cNvPr id="27401" name="Group 42">
          <a:extLst>
            <a:ext uri="{FF2B5EF4-FFF2-40B4-BE49-F238E27FC236}">
              <a16:creationId xmlns:a16="http://schemas.microsoft.com/office/drawing/2014/main" id="{00000000-0008-0000-0400-0000096B0000}"/>
            </a:ext>
          </a:extLst>
        </xdr:cNvPr>
        <xdr:cNvGrpSpPr>
          <a:grpSpLocks/>
        </xdr:cNvGrpSpPr>
      </xdr:nvGrpSpPr>
      <xdr:grpSpPr bwMode="auto">
        <a:xfrm>
          <a:off x="3752850" y="1333500"/>
          <a:ext cx="1390650" cy="962025"/>
          <a:chOff x="394" y="140"/>
          <a:chExt cx="146" cy="101"/>
        </a:xfrm>
      </xdr:grpSpPr>
      <xdr:sp macro="" textlink="">
        <xdr:nvSpPr>
          <xdr:cNvPr id="27404" name="Rectangle 11">
            <a:extLst>
              <a:ext uri="{FF2B5EF4-FFF2-40B4-BE49-F238E27FC236}">
                <a16:creationId xmlns:a16="http://schemas.microsoft.com/office/drawing/2014/main" id="{00000000-0008-0000-0400-00000C6B0000}"/>
              </a:ext>
            </a:extLst>
          </xdr:cNvPr>
          <xdr:cNvSpPr>
            <a:spLocks noChangeArrowheads="1"/>
          </xdr:cNvSpPr>
        </xdr:nvSpPr>
        <xdr:spPr bwMode="auto">
          <a:xfrm>
            <a:off x="406" y="144"/>
            <a:ext cx="134" cy="97"/>
          </a:xfrm>
          <a:prstGeom prst="rect">
            <a:avLst/>
          </a:prstGeom>
          <a:solidFill>
            <a:srgbClr val="808080"/>
          </a:solidFill>
          <a:ln w="9525">
            <a:solidFill>
              <a:srgbClr val="808080"/>
            </a:solidFill>
            <a:miter lim="800000"/>
            <a:headEnd/>
            <a:tailEnd/>
          </a:ln>
        </xdr:spPr>
      </xdr:sp>
      <xdr:pic>
        <xdr:nvPicPr>
          <xdr:cNvPr id="27405" name="Picture 40">
            <a:extLst>
              <a:ext uri="{FF2B5EF4-FFF2-40B4-BE49-F238E27FC236}">
                <a16:creationId xmlns:a16="http://schemas.microsoft.com/office/drawing/2014/main" id="{00000000-0008-0000-0400-00000D6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4" y="140"/>
            <a:ext cx="143"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26625" name="Drop Down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26626" name="Drop Down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26627" name="Drop Down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26628" name="Drop Down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533400</xdr:colOff>
          <xdr:row>16</xdr:row>
          <xdr:rowOff>9525</xdr:rowOff>
        </xdr:to>
        <xdr:sp macro="" textlink="">
          <xdr:nvSpPr>
            <xdr:cNvPr id="26629" name="Drop Down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1123950</xdr:colOff>
      <xdr:row>5</xdr:row>
      <xdr:rowOff>133350</xdr:rowOff>
    </xdr:from>
    <xdr:to>
      <xdr:col>6</xdr:col>
      <xdr:colOff>447675</xdr:colOff>
      <xdr:row>13</xdr:row>
      <xdr:rowOff>104775</xdr:rowOff>
    </xdr:to>
    <xdr:pic>
      <xdr:nvPicPr>
        <xdr:cNvPr id="27402" name="Picture 19">
          <a:extLst>
            <a:ext uri="{FF2B5EF4-FFF2-40B4-BE49-F238E27FC236}">
              <a16:creationId xmlns:a16="http://schemas.microsoft.com/office/drawing/2014/main" id="{00000000-0008-0000-0400-00000A6B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96025" y="1066800"/>
          <a:ext cx="16192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752475</xdr:colOff>
      <xdr:row>13</xdr:row>
      <xdr:rowOff>161925</xdr:rowOff>
    </xdr:from>
    <xdr:to>
      <xdr:col>5</xdr:col>
      <xdr:colOff>923925</xdr:colOff>
      <xdr:row>15</xdr:row>
      <xdr:rowOff>66675</xdr:rowOff>
    </xdr:to>
    <xdr:pic>
      <xdr:nvPicPr>
        <xdr:cNvPr id="27403" name="Picture 20">
          <a:extLst>
            <a:ext uri="{FF2B5EF4-FFF2-40B4-BE49-F238E27FC236}">
              <a16:creationId xmlns:a16="http://schemas.microsoft.com/office/drawing/2014/main" id="{00000000-0008-0000-0400-00000B6B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24550" y="2619375"/>
          <a:ext cx="1343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704850</xdr:colOff>
      <xdr:row>14</xdr:row>
      <xdr:rowOff>19050</xdr:rowOff>
    </xdr:from>
    <xdr:to>
      <xdr:col>5</xdr:col>
      <xdr:colOff>923925</xdr:colOff>
      <xdr:row>15</xdr:row>
      <xdr:rowOff>76200</xdr:rowOff>
    </xdr:to>
    <xdr:pic>
      <xdr:nvPicPr>
        <xdr:cNvPr id="24574" name="Picture 14">
          <a:extLst>
            <a:ext uri="{FF2B5EF4-FFF2-40B4-BE49-F238E27FC236}">
              <a16:creationId xmlns:a16="http://schemas.microsoft.com/office/drawing/2014/main" id="{00000000-0008-0000-0500-0000FE5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925" y="2667000"/>
          <a:ext cx="1390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733425</xdr:colOff>
      <xdr:row>5</xdr:row>
      <xdr:rowOff>9525</xdr:rowOff>
    </xdr:from>
    <xdr:to>
      <xdr:col>6</xdr:col>
      <xdr:colOff>771525</xdr:colOff>
      <xdr:row>14</xdr:row>
      <xdr:rowOff>0</xdr:rowOff>
    </xdr:to>
    <xdr:pic>
      <xdr:nvPicPr>
        <xdr:cNvPr id="24575" name="図 21" descr="J515-2.jpg">
          <a:extLst>
            <a:ext uri="{FF2B5EF4-FFF2-40B4-BE49-F238E27FC236}">
              <a16:creationId xmlns:a16="http://schemas.microsoft.com/office/drawing/2014/main" id="{00000000-0008-0000-0500-0000FF5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0" y="942975"/>
          <a:ext cx="23336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xdr:row>
      <xdr:rowOff>66675</xdr:rowOff>
    </xdr:from>
    <xdr:to>
      <xdr:col>1</xdr:col>
      <xdr:colOff>1076325</xdr:colOff>
      <xdr:row>11</xdr:row>
      <xdr:rowOff>171450</xdr:rowOff>
    </xdr:to>
    <xdr:grpSp>
      <xdr:nvGrpSpPr>
        <xdr:cNvPr id="38912" name="Group 4">
          <a:extLst>
            <a:ext uri="{FF2B5EF4-FFF2-40B4-BE49-F238E27FC236}">
              <a16:creationId xmlns:a16="http://schemas.microsoft.com/office/drawing/2014/main" id="{00000000-0008-0000-0500-000000980000}"/>
            </a:ext>
          </a:extLst>
        </xdr:cNvPr>
        <xdr:cNvGrpSpPr>
          <a:grpSpLocks/>
        </xdr:cNvGrpSpPr>
      </xdr:nvGrpSpPr>
      <xdr:grpSpPr bwMode="auto">
        <a:xfrm>
          <a:off x="866775" y="1381125"/>
          <a:ext cx="819150" cy="866775"/>
          <a:chOff x="130" y="141"/>
          <a:chExt cx="86" cy="91"/>
        </a:xfrm>
      </xdr:grpSpPr>
      <xdr:sp macro="" textlink="">
        <xdr:nvSpPr>
          <xdr:cNvPr id="38920" name="Rectangle 5">
            <a:extLst>
              <a:ext uri="{FF2B5EF4-FFF2-40B4-BE49-F238E27FC236}">
                <a16:creationId xmlns:a16="http://schemas.microsoft.com/office/drawing/2014/main" id="{00000000-0008-0000-0500-00000898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38921" name="Picture 6" descr="bicycle">
            <a:extLst>
              <a:ext uri="{FF2B5EF4-FFF2-40B4-BE49-F238E27FC236}">
                <a16:creationId xmlns:a16="http://schemas.microsoft.com/office/drawing/2014/main" id="{00000000-0008-0000-0500-0000099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Arial"/>
              <a:cs typeface="Arial"/>
            </a:rPr>
            <a:t>Custom Cost Per Print Analysis Tool</a:t>
          </a:r>
        </a:p>
      </xdr:txBody>
    </xdr:sp>
    <xdr:clientData/>
  </xdr:twoCellAnchor>
  <xdr:twoCellAnchor>
    <xdr:from>
      <xdr:col>2</xdr:col>
      <xdr:colOff>257175</xdr:colOff>
      <xdr:row>7</xdr:row>
      <xdr:rowOff>28575</xdr:rowOff>
    </xdr:from>
    <xdr:to>
      <xdr:col>2</xdr:col>
      <xdr:colOff>942975</xdr:colOff>
      <xdr:row>12</xdr:row>
      <xdr:rowOff>9525</xdr:rowOff>
    </xdr:to>
    <xdr:grpSp>
      <xdr:nvGrpSpPr>
        <xdr:cNvPr id="38914" name="Group 41">
          <a:extLst>
            <a:ext uri="{FF2B5EF4-FFF2-40B4-BE49-F238E27FC236}">
              <a16:creationId xmlns:a16="http://schemas.microsoft.com/office/drawing/2014/main" id="{00000000-0008-0000-0500-000002980000}"/>
            </a:ext>
          </a:extLst>
        </xdr:cNvPr>
        <xdr:cNvGrpSpPr>
          <a:grpSpLocks/>
        </xdr:cNvGrpSpPr>
      </xdr:nvGrpSpPr>
      <xdr:grpSpPr bwMode="auto">
        <a:xfrm>
          <a:off x="2552700" y="1343025"/>
          <a:ext cx="685800" cy="933450"/>
          <a:chOff x="268" y="140"/>
          <a:chExt cx="72" cy="98"/>
        </a:xfrm>
      </xdr:grpSpPr>
      <xdr:sp macro="" textlink="">
        <xdr:nvSpPr>
          <xdr:cNvPr id="38918" name="Rectangle 8">
            <a:extLst>
              <a:ext uri="{FF2B5EF4-FFF2-40B4-BE49-F238E27FC236}">
                <a16:creationId xmlns:a16="http://schemas.microsoft.com/office/drawing/2014/main" id="{00000000-0008-0000-0500-000006980000}"/>
              </a:ext>
            </a:extLst>
          </xdr:cNvPr>
          <xdr:cNvSpPr>
            <a:spLocks noChangeArrowheads="1"/>
          </xdr:cNvSpPr>
        </xdr:nvSpPr>
        <xdr:spPr bwMode="auto">
          <a:xfrm>
            <a:off x="271" y="144"/>
            <a:ext cx="69" cy="94"/>
          </a:xfrm>
          <a:prstGeom prst="rect">
            <a:avLst/>
          </a:prstGeom>
          <a:solidFill>
            <a:srgbClr val="808080"/>
          </a:solidFill>
          <a:ln w="9525">
            <a:solidFill>
              <a:srgbClr val="808080"/>
            </a:solidFill>
            <a:miter lim="800000"/>
            <a:headEnd/>
            <a:tailEnd/>
          </a:ln>
        </xdr:spPr>
      </xdr:sp>
      <xdr:pic>
        <xdr:nvPicPr>
          <xdr:cNvPr id="38919" name="Picture 39">
            <a:extLst>
              <a:ext uri="{FF2B5EF4-FFF2-40B4-BE49-F238E27FC236}">
                <a16:creationId xmlns:a16="http://schemas.microsoft.com/office/drawing/2014/main" id="{00000000-0008-0000-0500-0000079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8" y="140"/>
            <a:ext cx="70" cy="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1457325</xdr:colOff>
      <xdr:row>7</xdr:row>
      <xdr:rowOff>19050</xdr:rowOff>
    </xdr:from>
    <xdr:to>
      <xdr:col>3</xdr:col>
      <xdr:colOff>1343025</xdr:colOff>
      <xdr:row>12</xdr:row>
      <xdr:rowOff>28575</xdr:rowOff>
    </xdr:to>
    <xdr:grpSp>
      <xdr:nvGrpSpPr>
        <xdr:cNvPr id="38915" name="Group 42">
          <a:extLst>
            <a:ext uri="{FF2B5EF4-FFF2-40B4-BE49-F238E27FC236}">
              <a16:creationId xmlns:a16="http://schemas.microsoft.com/office/drawing/2014/main" id="{00000000-0008-0000-0500-000003980000}"/>
            </a:ext>
          </a:extLst>
        </xdr:cNvPr>
        <xdr:cNvGrpSpPr>
          <a:grpSpLocks/>
        </xdr:cNvGrpSpPr>
      </xdr:nvGrpSpPr>
      <xdr:grpSpPr bwMode="auto">
        <a:xfrm>
          <a:off x="3752850" y="1333500"/>
          <a:ext cx="1390650" cy="962025"/>
          <a:chOff x="394" y="140"/>
          <a:chExt cx="146" cy="101"/>
        </a:xfrm>
      </xdr:grpSpPr>
      <xdr:sp macro="" textlink="">
        <xdr:nvSpPr>
          <xdr:cNvPr id="38916" name="Rectangle 11">
            <a:extLst>
              <a:ext uri="{FF2B5EF4-FFF2-40B4-BE49-F238E27FC236}">
                <a16:creationId xmlns:a16="http://schemas.microsoft.com/office/drawing/2014/main" id="{00000000-0008-0000-0500-000004980000}"/>
              </a:ext>
            </a:extLst>
          </xdr:cNvPr>
          <xdr:cNvSpPr>
            <a:spLocks noChangeArrowheads="1"/>
          </xdr:cNvSpPr>
        </xdr:nvSpPr>
        <xdr:spPr bwMode="auto">
          <a:xfrm>
            <a:off x="406" y="144"/>
            <a:ext cx="134" cy="97"/>
          </a:xfrm>
          <a:prstGeom prst="rect">
            <a:avLst/>
          </a:prstGeom>
          <a:solidFill>
            <a:srgbClr val="808080"/>
          </a:solidFill>
          <a:ln w="9525">
            <a:solidFill>
              <a:srgbClr val="808080"/>
            </a:solidFill>
            <a:miter lim="800000"/>
            <a:headEnd/>
            <a:tailEnd/>
          </a:ln>
        </xdr:spPr>
      </xdr:sp>
      <xdr:pic>
        <xdr:nvPicPr>
          <xdr:cNvPr id="38917" name="Picture 40">
            <a:extLst>
              <a:ext uri="{FF2B5EF4-FFF2-40B4-BE49-F238E27FC236}">
                <a16:creationId xmlns:a16="http://schemas.microsoft.com/office/drawing/2014/main" id="{00000000-0008-0000-0500-0000059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4" y="140"/>
            <a:ext cx="143"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23554" name="Drop Down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23556" name="Drop Down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533400</xdr:colOff>
          <xdr:row>16</xdr:row>
          <xdr:rowOff>9525</xdr:rowOff>
        </xdr:to>
        <xdr:sp macro="" textlink="">
          <xdr:nvSpPr>
            <xdr:cNvPr id="23557" name="Drop Down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752475</xdr:colOff>
      <xdr:row>14</xdr:row>
      <xdr:rowOff>19050</xdr:rowOff>
    </xdr:from>
    <xdr:to>
      <xdr:col>5</xdr:col>
      <xdr:colOff>895350</xdr:colOff>
      <xdr:row>15</xdr:row>
      <xdr:rowOff>66675</xdr:rowOff>
    </xdr:to>
    <xdr:pic>
      <xdr:nvPicPr>
        <xdr:cNvPr id="26470" name="Picture 13">
          <a:extLst>
            <a:ext uri="{FF2B5EF4-FFF2-40B4-BE49-F238E27FC236}">
              <a16:creationId xmlns:a16="http://schemas.microsoft.com/office/drawing/2014/main" id="{00000000-0008-0000-0600-0000666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4550" y="2667000"/>
          <a:ext cx="13144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xdr:row>
      <xdr:rowOff>66675</xdr:rowOff>
    </xdr:from>
    <xdr:to>
      <xdr:col>1</xdr:col>
      <xdr:colOff>1076325</xdr:colOff>
      <xdr:row>11</xdr:row>
      <xdr:rowOff>171450</xdr:rowOff>
    </xdr:to>
    <xdr:grpSp>
      <xdr:nvGrpSpPr>
        <xdr:cNvPr id="26471" name="Group 4">
          <a:extLst>
            <a:ext uri="{FF2B5EF4-FFF2-40B4-BE49-F238E27FC236}">
              <a16:creationId xmlns:a16="http://schemas.microsoft.com/office/drawing/2014/main" id="{00000000-0008-0000-0600-000067670000}"/>
            </a:ext>
          </a:extLst>
        </xdr:cNvPr>
        <xdr:cNvGrpSpPr>
          <a:grpSpLocks/>
        </xdr:cNvGrpSpPr>
      </xdr:nvGrpSpPr>
      <xdr:grpSpPr bwMode="auto">
        <a:xfrm>
          <a:off x="866775" y="1381125"/>
          <a:ext cx="819150" cy="866775"/>
          <a:chOff x="130" y="141"/>
          <a:chExt cx="86" cy="91"/>
        </a:xfrm>
      </xdr:grpSpPr>
      <xdr:sp macro="" textlink="">
        <xdr:nvSpPr>
          <xdr:cNvPr id="26480" name="Rectangle 5">
            <a:extLst>
              <a:ext uri="{FF2B5EF4-FFF2-40B4-BE49-F238E27FC236}">
                <a16:creationId xmlns:a16="http://schemas.microsoft.com/office/drawing/2014/main" id="{00000000-0008-0000-0600-00007067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26481" name="Picture 6" descr="bicycle">
            <a:extLst>
              <a:ext uri="{FF2B5EF4-FFF2-40B4-BE49-F238E27FC236}">
                <a16:creationId xmlns:a16="http://schemas.microsoft.com/office/drawing/2014/main" id="{00000000-0008-0000-0600-0000716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Arial"/>
              <a:cs typeface="Arial"/>
            </a:rPr>
            <a:t>Custom Cost Per Print Analysis Tool</a:t>
          </a:r>
        </a:p>
      </xdr:txBody>
    </xdr:sp>
    <xdr:clientData/>
  </xdr:twoCellAnchor>
  <xdr:twoCellAnchor>
    <xdr:from>
      <xdr:col>2</xdr:col>
      <xdr:colOff>257175</xdr:colOff>
      <xdr:row>7</xdr:row>
      <xdr:rowOff>28575</xdr:rowOff>
    </xdr:from>
    <xdr:to>
      <xdr:col>2</xdr:col>
      <xdr:colOff>942975</xdr:colOff>
      <xdr:row>12</xdr:row>
      <xdr:rowOff>9525</xdr:rowOff>
    </xdr:to>
    <xdr:grpSp>
      <xdr:nvGrpSpPr>
        <xdr:cNvPr id="26473" name="Group 41">
          <a:extLst>
            <a:ext uri="{FF2B5EF4-FFF2-40B4-BE49-F238E27FC236}">
              <a16:creationId xmlns:a16="http://schemas.microsoft.com/office/drawing/2014/main" id="{00000000-0008-0000-0600-000069670000}"/>
            </a:ext>
          </a:extLst>
        </xdr:cNvPr>
        <xdr:cNvGrpSpPr>
          <a:grpSpLocks/>
        </xdr:cNvGrpSpPr>
      </xdr:nvGrpSpPr>
      <xdr:grpSpPr bwMode="auto">
        <a:xfrm>
          <a:off x="2552700" y="1343025"/>
          <a:ext cx="685800" cy="933450"/>
          <a:chOff x="268" y="140"/>
          <a:chExt cx="72" cy="98"/>
        </a:xfrm>
      </xdr:grpSpPr>
      <xdr:sp macro="" textlink="">
        <xdr:nvSpPr>
          <xdr:cNvPr id="26478" name="Rectangle 8">
            <a:extLst>
              <a:ext uri="{FF2B5EF4-FFF2-40B4-BE49-F238E27FC236}">
                <a16:creationId xmlns:a16="http://schemas.microsoft.com/office/drawing/2014/main" id="{00000000-0008-0000-0600-00006E670000}"/>
              </a:ext>
            </a:extLst>
          </xdr:cNvPr>
          <xdr:cNvSpPr>
            <a:spLocks noChangeArrowheads="1"/>
          </xdr:cNvSpPr>
        </xdr:nvSpPr>
        <xdr:spPr bwMode="auto">
          <a:xfrm>
            <a:off x="271" y="144"/>
            <a:ext cx="69" cy="94"/>
          </a:xfrm>
          <a:prstGeom prst="rect">
            <a:avLst/>
          </a:prstGeom>
          <a:solidFill>
            <a:srgbClr val="808080"/>
          </a:solidFill>
          <a:ln w="9525">
            <a:solidFill>
              <a:srgbClr val="808080"/>
            </a:solidFill>
            <a:miter lim="800000"/>
            <a:headEnd/>
            <a:tailEnd/>
          </a:ln>
        </xdr:spPr>
      </xdr:sp>
      <xdr:pic>
        <xdr:nvPicPr>
          <xdr:cNvPr id="26479" name="Picture 39">
            <a:extLst>
              <a:ext uri="{FF2B5EF4-FFF2-40B4-BE49-F238E27FC236}">
                <a16:creationId xmlns:a16="http://schemas.microsoft.com/office/drawing/2014/main" id="{00000000-0008-0000-0600-00006F6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8" y="140"/>
            <a:ext cx="70" cy="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1457325</xdr:colOff>
      <xdr:row>7</xdr:row>
      <xdr:rowOff>19050</xdr:rowOff>
    </xdr:from>
    <xdr:to>
      <xdr:col>3</xdr:col>
      <xdr:colOff>1343025</xdr:colOff>
      <xdr:row>12</xdr:row>
      <xdr:rowOff>28575</xdr:rowOff>
    </xdr:to>
    <xdr:grpSp>
      <xdr:nvGrpSpPr>
        <xdr:cNvPr id="26474" name="Group 42">
          <a:extLst>
            <a:ext uri="{FF2B5EF4-FFF2-40B4-BE49-F238E27FC236}">
              <a16:creationId xmlns:a16="http://schemas.microsoft.com/office/drawing/2014/main" id="{00000000-0008-0000-0600-00006A670000}"/>
            </a:ext>
          </a:extLst>
        </xdr:cNvPr>
        <xdr:cNvGrpSpPr>
          <a:grpSpLocks/>
        </xdr:cNvGrpSpPr>
      </xdr:nvGrpSpPr>
      <xdr:grpSpPr bwMode="auto">
        <a:xfrm>
          <a:off x="3752850" y="1333500"/>
          <a:ext cx="1390650" cy="962025"/>
          <a:chOff x="394" y="140"/>
          <a:chExt cx="146" cy="101"/>
        </a:xfrm>
      </xdr:grpSpPr>
      <xdr:sp macro="" textlink="">
        <xdr:nvSpPr>
          <xdr:cNvPr id="26476" name="Rectangle 11">
            <a:extLst>
              <a:ext uri="{FF2B5EF4-FFF2-40B4-BE49-F238E27FC236}">
                <a16:creationId xmlns:a16="http://schemas.microsoft.com/office/drawing/2014/main" id="{00000000-0008-0000-0600-00006C670000}"/>
              </a:ext>
            </a:extLst>
          </xdr:cNvPr>
          <xdr:cNvSpPr>
            <a:spLocks noChangeArrowheads="1"/>
          </xdr:cNvSpPr>
        </xdr:nvSpPr>
        <xdr:spPr bwMode="auto">
          <a:xfrm>
            <a:off x="406" y="144"/>
            <a:ext cx="134" cy="97"/>
          </a:xfrm>
          <a:prstGeom prst="rect">
            <a:avLst/>
          </a:prstGeom>
          <a:solidFill>
            <a:srgbClr val="808080"/>
          </a:solidFill>
          <a:ln w="9525">
            <a:solidFill>
              <a:srgbClr val="808080"/>
            </a:solidFill>
            <a:miter lim="800000"/>
            <a:headEnd/>
            <a:tailEnd/>
          </a:ln>
        </xdr:spPr>
      </xdr:sp>
      <xdr:pic>
        <xdr:nvPicPr>
          <xdr:cNvPr id="26477" name="Picture 40">
            <a:extLst>
              <a:ext uri="{FF2B5EF4-FFF2-40B4-BE49-F238E27FC236}">
                <a16:creationId xmlns:a16="http://schemas.microsoft.com/office/drawing/2014/main" id="{00000000-0008-0000-0600-00006D67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4" y="140"/>
            <a:ext cx="143"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25601" name="Drop Dow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25602" name="Drop Down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25603" name="Drop Down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25604" name="Drop Down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533400</xdr:colOff>
          <xdr:row>16</xdr:row>
          <xdr:rowOff>9525</xdr:rowOff>
        </xdr:to>
        <xdr:sp macro="" textlink="">
          <xdr:nvSpPr>
            <xdr:cNvPr id="25605" name="Drop Down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723900</xdr:colOff>
      <xdr:row>5</xdr:row>
      <xdr:rowOff>114300</xdr:rowOff>
    </xdr:from>
    <xdr:to>
      <xdr:col>6</xdr:col>
      <xdr:colOff>695325</xdr:colOff>
      <xdr:row>13</xdr:row>
      <xdr:rowOff>190500</xdr:rowOff>
    </xdr:to>
    <xdr:pic>
      <xdr:nvPicPr>
        <xdr:cNvPr id="26475" name="図 42" descr="J507E-2.jpg">
          <a:extLst>
            <a:ext uri="{FF2B5EF4-FFF2-40B4-BE49-F238E27FC236}">
              <a16:creationId xmlns:a16="http://schemas.microsoft.com/office/drawing/2014/main" id="{00000000-0008-0000-0600-00006B67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3571" t="4993"/>
        <a:stretch>
          <a:fillRect/>
        </a:stretch>
      </xdr:blipFill>
      <xdr:spPr bwMode="auto">
        <a:xfrm>
          <a:off x="5895975" y="1047750"/>
          <a:ext cx="226695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7</xdr:row>
      <xdr:rowOff>66675</xdr:rowOff>
    </xdr:from>
    <xdr:to>
      <xdr:col>1</xdr:col>
      <xdr:colOff>1076325</xdr:colOff>
      <xdr:row>11</xdr:row>
      <xdr:rowOff>171450</xdr:rowOff>
    </xdr:to>
    <xdr:grpSp>
      <xdr:nvGrpSpPr>
        <xdr:cNvPr id="35841" name="Group 2">
          <a:extLst>
            <a:ext uri="{FF2B5EF4-FFF2-40B4-BE49-F238E27FC236}">
              <a16:creationId xmlns:a16="http://schemas.microsoft.com/office/drawing/2014/main" id="{00000000-0008-0000-0700-0000018C0000}"/>
            </a:ext>
          </a:extLst>
        </xdr:cNvPr>
        <xdr:cNvGrpSpPr>
          <a:grpSpLocks/>
        </xdr:cNvGrpSpPr>
      </xdr:nvGrpSpPr>
      <xdr:grpSpPr bwMode="auto">
        <a:xfrm>
          <a:off x="863311" y="1469448"/>
          <a:ext cx="819150" cy="866775"/>
          <a:chOff x="130" y="141"/>
          <a:chExt cx="86" cy="91"/>
        </a:xfrm>
      </xdr:grpSpPr>
      <xdr:sp macro="" textlink="">
        <xdr:nvSpPr>
          <xdr:cNvPr id="35848" name="Rectangle 3">
            <a:extLst>
              <a:ext uri="{FF2B5EF4-FFF2-40B4-BE49-F238E27FC236}">
                <a16:creationId xmlns:a16="http://schemas.microsoft.com/office/drawing/2014/main" id="{00000000-0008-0000-0700-0000088C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35849" name="Picture 4" descr="bicycle">
            <a:extLst>
              <a:ext uri="{FF2B5EF4-FFF2-40B4-BE49-F238E27FC236}">
                <a16:creationId xmlns:a16="http://schemas.microsoft.com/office/drawing/2014/main" id="{00000000-0008-0000-0700-0000098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7</xdr:col>
      <xdr:colOff>380997</xdr:colOff>
      <xdr:row>3</xdr:row>
      <xdr:rowOff>19050</xdr:rowOff>
    </xdr:to>
    <xdr:sp macro="" textlink="">
      <xdr:nvSpPr>
        <xdr:cNvPr id="16393" name="Text Box 9">
          <a:extLst>
            <a:ext uri="{FF2B5EF4-FFF2-40B4-BE49-F238E27FC236}">
              <a16:creationId xmlns:a16="http://schemas.microsoft.com/office/drawing/2014/main" id="{00000000-0008-0000-0700-00000940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xdr:twoCellAnchor>
    <xdr:from>
      <xdr:col>2</xdr:col>
      <xdr:colOff>38100</xdr:colOff>
      <xdr:row>7</xdr:row>
      <xdr:rowOff>19050</xdr:rowOff>
    </xdr:from>
    <xdr:to>
      <xdr:col>2</xdr:col>
      <xdr:colOff>1371600</xdr:colOff>
      <xdr:row>12</xdr:row>
      <xdr:rowOff>9525</xdr:rowOff>
    </xdr:to>
    <xdr:grpSp>
      <xdr:nvGrpSpPr>
        <xdr:cNvPr id="35843" name="Group 66">
          <a:extLst>
            <a:ext uri="{FF2B5EF4-FFF2-40B4-BE49-F238E27FC236}">
              <a16:creationId xmlns:a16="http://schemas.microsoft.com/office/drawing/2014/main" id="{00000000-0008-0000-0700-0000038C0000}"/>
            </a:ext>
          </a:extLst>
        </xdr:cNvPr>
        <xdr:cNvGrpSpPr>
          <a:grpSpLocks/>
        </xdr:cNvGrpSpPr>
      </xdr:nvGrpSpPr>
      <xdr:grpSpPr bwMode="auto">
        <a:xfrm>
          <a:off x="2332759" y="1421823"/>
          <a:ext cx="1333500" cy="942975"/>
          <a:chOff x="245" y="140"/>
          <a:chExt cx="140" cy="99"/>
        </a:xfrm>
      </xdr:grpSpPr>
      <xdr:sp macro="" textlink="">
        <xdr:nvSpPr>
          <xdr:cNvPr id="35846" name="Rectangle 67">
            <a:extLst>
              <a:ext uri="{FF2B5EF4-FFF2-40B4-BE49-F238E27FC236}">
                <a16:creationId xmlns:a16="http://schemas.microsoft.com/office/drawing/2014/main" id="{00000000-0008-0000-0700-0000068C0000}"/>
              </a:ext>
            </a:extLst>
          </xdr:cNvPr>
          <xdr:cNvSpPr>
            <a:spLocks noChangeArrowheads="1"/>
          </xdr:cNvSpPr>
        </xdr:nvSpPr>
        <xdr:spPr bwMode="auto">
          <a:xfrm>
            <a:off x="249" y="143"/>
            <a:ext cx="136" cy="96"/>
          </a:xfrm>
          <a:prstGeom prst="rect">
            <a:avLst/>
          </a:prstGeom>
          <a:solidFill>
            <a:srgbClr val="808080"/>
          </a:solidFill>
          <a:ln w="9525">
            <a:solidFill>
              <a:srgbClr val="808080"/>
            </a:solidFill>
            <a:miter lim="800000"/>
            <a:headEnd/>
            <a:tailEnd/>
          </a:ln>
        </xdr:spPr>
      </xdr:sp>
      <xdr:pic>
        <xdr:nvPicPr>
          <xdr:cNvPr id="35847" name="Picture 68">
            <a:extLst>
              <a:ext uri="{FF2B5EF4-FFF2-40B4-BE49-F238E27FC236}">
                <a16:creationId xmlns:a16="http://schemas.microsoft.com/office/drawing/2014/main" id="{00000000-0008-0000-0700-0000078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5" y="140"/>
            <a:ext cx="136" cy="9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171450</xdr:colOff>
      <xdr:row>7</xdr:row>
      <xdr:rowOff>28575</xdr:rowOff>
    </xdr:from>
    <xdr:to>
      <xdr:col>4</xdr:col>
      <xdr:colOff>76200</xdr:colOff>
      <xdr:row>11</xdr:row>
      <xdr:rowOff>171450</xdr:rowOff>
    </xdr:to>
    <xdr:pic>
      <xdr:nvPicPr>
        <xdr:cNvPr id="35844" name="Picture 10" descr="Screen shot 2012-07-06 at 10.41.49 AM.png">
          <a:extLst>
            <a:ext uri="{FF2B5EF4-FFF2-40B4-BE49-F238E27FC236}">
              <a16:creationId xmlns:a16="http://schemas.microsoft.com/office/drawing/2014/main" id="{00000000-0008-0000-0700-0000048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71925" y="1343025"/>
          <a:ext cx="1276350" cy="904875"/>
        </a:xfrm>
        <a:prstGeom prst="rect">
          <a:avLst/>
        </a:prstGeom>
        <a:noFill/>
        <a:ln w="9525">
          <a:solidFill>
            <a:srgbClr val="262626"/>
          </a:solidFill>
          <a:miter lim="800000"/>
          <a:headEnd/>
          <a:tailEnd/>
        </a:ln>
        <a:effectLst>
          <a:outerShdw dist="38100" dir="2700000" algn="tl" rotWithShape="0">
            <a:srgbClr val="7F7F7F"/>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16390" name="Drop Down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16391" name="Drop Down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16408" name="Drop Down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533400</xdr:colOff>
          <xdr:row>16</xdr:row>
          <xdr:rowOff>9525</xdr:rowOff>
        </xdr:to>
        <xdr:sp macro="" textlink="">
          <xdr:nvSpPr>
            <xdr:cNvPr id="16423" name="Drop Down 39" hidden="1">
              <a:extLst>
                <a:ext uri="{63B3BB69-23CF-44E3-9099-C40C66FF867C}">
                  <a14:compatExt spid="_x0000_s16423"/>
                </a:ext>
                <a:ext uri="{FF2B5EF4-FFF2-40B4-BE49-F238E27FC236}">
                  <a16:creationId xmlns:a16="http://schemas.microsoft.com/office/drawing/2014/main" id="{00000000-0008-0000-0700-00002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600075</xdr:colOff>
      <xdr:row>5</xdr:row>
      <xdr:rowOff>123825</xdr:rowOff>
    </xdr:from>
    <xdr:to>
      <xdr:col>6</xdr:col>
      <xdr:colOff>923925</xdr:colOff>
      <xdr:row>15</xdr:row>
      <xdr:rowOff>171450</xdr:rowOff>
    </xdr:to>
    <xdr:pic>
      <xdr:nvPicPr>
        <xdr:cNvPr id="35845" name="Picture 15" descr="Image result for canon TX-3000">
          <a:extLst>
            <a:ext uri="{FF2B5EF4-FFF2-40B4-BE49-F238E27FC236}">
              <a16:creationId xmlns:a16="http://schemas.microsoft.com/office/drawing/2014/main" id="{00000000-0008-0000-0700-0000058C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72150" y="1057275"/>
          <a:ext cx="26193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2</xdr:row>
      <xdr:rowOff>0</xdr:rowOff>
    </xdr:from>
    <xdr:to>
      <xdr:col>18</xdr:col>
      <xdr:colOff>161925</xdr:colOff>
      <xdr:row>27</xdr:row>
      <xdr:rowOff>209550</xdr:rowOff>
    </xdr:to>
    <xdr:sp macro="" textlink="">
      <xdr:nvSpPr>
        <xdr:cNvPr id="16" name="Rectangle: Rounded Corners 15">
          <a:extLst>
            <a:ext uri="{FF2B5EF4-FFF2-40B4-BE49-F238E27FC236}">
              <a16:creationId xmlns:a16="http://schemas.microsoft.com/office/drawing/2014/main" id="{00000000-0008-0000-0700-000010000000}"/>
            </a:ext>
          </a:extLst>
        </xdr:cNvPr>
        <xdr:cNvSpPr/>
      </xdr:nvSpPr>
      <xdr:spPr>
        <a:xfrm>
          <a:off x="9944100" y="466725"/>
          <a:ext cx="2981325" cy="5057775"/>
        </a:xfrm>
        <a:prstGeom prst="roundRect">
          <a:avLst/>
        </a:prstGeom>
        <a:solidFill>
          <a:schemeClr val="bg1">
            <a:lumMod val="65000"/>
          </a:schemeClr>
        </a:solidFill>
        <a:ln>
          <a:solidFill>
            <a:schemeClr val="bg1">
              <a:lumMod val="6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16</xdr:col>
      <xdr:colOff>28575</xdr:colOff>
      <xdr:row>4</xdr:row>
      <xdr:rowOff>180975</xdr:rowOff>
    </xdr:from>
    <xdr:to>
      <xdr:col>17</xdr:col>
      <xdr:colOff>666750</xdr:colOff>
      <xdr:row>27</xdr:row>
      <xdr:rowOff>209550</xdr:rowOff>
    </xdr:to>
    <xdr:sp macro="" textlink="">
      <xdr:nvSpPr>
        <xdr:cNvPr id="17" name="TextBox 16">
          <a:extLst>
            <a:ext uri="{FF2B5EF4-FFF2-40B4-BE49-F238E27FC236}">
              <a16:creationId xmlns:a16="http://schemas.microsoft.com/office/drawing/2014/main" id="{00000000-0008-0000-0700-000011000000}"/>
            </a:ext>
          </a:extLst>
        </xdr:cNvPr>
        <xdr:cNvSpPr txBox="1"/>
      </xdr:nvSpPr>
      <xdr:spPr>
        <a:xfrm>
          <a:off x="9972675" y="1009650"/>
          <a:ext cx="149542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Feature</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- 5-colour pigment ink system</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Optional Stacker (SS-xx)</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Optional Multifunctional Roll Unit (RU-xx)</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Borderless Printing</a:t>
          </a:r>
        </a:p>
      </xdr:txBody>
    </xdr:sp>
    <xdr:clientData/>
  </xdr:twoCellAnchor>
  <xdr:twoCellAnchor>
    <xdr:from>
      <xdr:col>17</xdr:col>
      <xdr:colOff>657225</xdr:colOff>
      <xdr:row>5</xdr:row>
      <xdr:rowOff>0</xdr:rowOff>
    </xdr:from>
    <xdr:to>
      <xdr:col>18</xdr:col>
      <xdr:colOff>95250</xdr:colOff>
      <xdr:row>27</xdr:row>
      <xdr:rowOff>219075</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11458575" y="1019175"/>
          <a:ext cx="140017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Benefits</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Enhanced durability against sunlight and water</a:t>
          </a: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a:t>
          </a:r>
          <a:r>
            <a:rPr lang="en-AU" sz="1100" baseline="0">
              <a:latin typeface="Poppins" panose="00000500000000000000" pitchFamily="2" charset="0"/>
              <a:cs typeface="Poppins" panose="00000500000000000000" pitchFamily="2" charset="0"/>
            </a:rPr>
            <a:t> Collate up to 50 x A0 sheets</a:t>
          </a: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Load two media rolls simultaneously OR print roll-to-roll</a:t>
          </a: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Reduced finishing time</a:t>
          </a:r>
          <a:endParaRPr lang="en-AU" sz="1100">
            <a:latin typeface="Poppins" panose="00000500000000000000" pitchFamily="2" charset="0"/>
            <a:cs typeface="Poppins" panose="00000500000000000000" pitchFamily="2" charset="0"/>
          </a:endParaRPr>
        </a:p>
      </xdr:txBody>
    </xdr:sp>
    <xdr:clientData/>
  </xdr:twoCellAnchor>
  <xdr:twoCellAnchor>
    <xdr:from>
      <xdr:col>16</xdr:col>
      <xdr:colOff>57150</xdr:colOff>
      <xdr:row>2</xdr:row>
      <xdr:rowOff>152400</xdr:rowOff>
    </xdr:from>
    <xdr:to>
      <xdr:col>18</xdr:col>
      <xdr:colOff>114300</xdr:colOff>
      <xdr:row>4</xdr:row>
      <xdr:rowOff>171450</xdr:rowOff>
    </xdr:to>
    <xdr:sp macro="" textlink="">
      <xdr:nvSpPr>
        <xdr:cNvPr id="19" name="TextBox 18">
          <a:extLst>
            <a:ext uri="{FF2B5EF4-FFF2-40B4-BE49-F238E27FC236}">
              <a16:creationId xmlns:a16="http://schemas.microsoft.com/office/drawing/2014/main" id="{00000000-0008-0000-0700-000013000000}"/>
            </a:ext>
          </a:extLst>
        </xdr:cNvPr>
        <xdr:cNvSpPr txBox="1"/>
      </xdr:nvSpPr>
      <xdr:spPr>
        <a:xfrm>
          <a:off x="10001250" y="619125"/>
          <a:ext cx="28765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Key Selling</a:t>
          </a:r>
          <a:r>
            <a:rPr lang="en-AU" sz="1100" b="1" u="sng" baseline="0">
              <a:latin typeface="Poppins" panose="00000500000000000000" pitchFamily="2" charset="0"/>
              <a:cs typeface="Poppins" panose="00000500000000000000" pitchFamily="2" charset="0"/>
            </a:rPr>
            <a:t> Points</a:t>
          </a:r>
        </a:p>
      </xdr:txBody>
    </xdr:sp>
    <xdr:clientData/>
  </xdr:twoCellAnchor>
  <xdr:twoCellAnchor>
    <xdr:from>
      <xdr:col>16</xdr:col>
      <xdr:colOff>554182</xdr:colOff>
      <xdr:row>12</xdr:row>
      <xdr:rowOff>51955</xdr:rowOff>
    </xdr:from>
    <xdr:to>
      <xdr:col>17</xdr:col>
      <xdr:colOff>1590209</xdr:colOff>
      <xdr:row>12</xdr:row>
      <xdr:rowOff>53420</xdr:rowOff>
    </xdr:to>
    <xdr:cxnSp macro="">
      <xdr:nvCxnSpPr>
        <xdr:cNvPr id="20" name="Straight Connector 19">
          <a:extLst>
            <a:ext uri="{FF2B5EF4-FFF2-40B4-BE49-F238E27FC236}">
              <a16:creationId xmlns:a16="http://schemas.microsoft.com/office/drawing/2014/main" id="{00000000-0008-0000-0700-000014000000}"/>
            </a:ext>
          </a:extLst>
        </xdr:cNvPr>
        <xdr:cNvCxnSpPr/>
      </xdr:nvCxnSpPr>
      <xdr:spPr>
        <a:xfrm flipV="1">
          <a:off x="10494818" y="2407228"/>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550718</xdr:colOff>
      <xdr:row>15</xdr:row>
      <xdr:rowOff>169718</xdr:rowOff>
    </xdr:from>
    <xdr:to>
      <xdr:col>17</xdr:col>
      <xdr:colOff>1586745</xdr:colOff>
      <xdr:row>15</xdr:row>
      <xdr:rowOff>171183</xdr:rowOff>
    </xdr:to>
    <xdr:cxnSp macro="">
      <xdr:nvCxnSpPr>
        <xdr:cNvPr id="21" name="Straight Connector 20">
          <a:extLst>
            <a:ext uri="{FF2B5EF4-FFF2-40B4-BE49-F238E27FC236}">
              <a16:creationId xmlns:a16="http://schemas.microsoft.com/office/drawing/2014/main" id="{00000000-0008-0000-0700-000015000000}"/>
            </a:ext>
          </a:extLst>
        </xdr:cNvPr>
        <xdr:cNvCxnSpPr/>
      </xdr:nvCxnSpPr>
      <xdr:spPr>
        <a:xfrm flipV="1">
          <a:off x="10491354" y="3096491"/>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529936</xdr:colOff>
      <xdr:row>22</xdr:row>
      <xdr:rowOff>53686</xdr:rowOff>
    </xdr:from>
    <xdr:to>
      <xdr:col>17</xdr:col>
      <xdr:colOff>1565963</xdr:colOff>
      <xdr:row>22</xdr:row>
      <xdr:rowOff>55151</xdr:rowOff>
    </xdr:to>
    <xdr:cxnSp macro="">
      <xdr:nvCxnSpPr>
        <xdr:cNvPr id="22" name="Straight Connector 21">
          <a:extLst>
            <a:ext uri="{FF2B5EF4-FFF2-40B4-BE49-F238E27FC236}">
              <a16:creationId xmlns:a16="http://schemas.microsoft.com/office/drawing/2014/main" id="{00000000-0008-0000-0700-000016000000}"/>
            </a:ext>
          </a:extLst>
        </xdr:cNvPr>
        <xdr:cNvCxnSpPr/>
      </xdr:nvCxnSpPr>
      <xdr:spPr>
        <a:xfrm flipV="1">
          <a:off x="10470572" y="4313959"/>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257175</xdr:colOff>
      <xdr:row>7</xdr:row>
      <xdr:rowOff>47625</xdr:rowOff>
    </xdr:from>
    <xdr:to>
      <xdr:col>1</xdr:col>
      <xdr:colOff>1076325</xdr:colOff>
      <xdr:row>11</xdr:row>
      <xdr:rowOff>152400</xdr:rowOff>
    </xdr:to>
    <xdr:grpSp>
      <xdr:nvGrpSpPr>
        <xdr:cNvPr id="34819" name="Group 1">
          <a:extLst>
            <a:ext uri="{FF2B5EF4-FFF2-40B4-BE49-F238E27FC236}">
              <a16:creationId xmlns:a16="http://schemas.microsoft.com/office/drawing/2014/main" id="{00000000-0008-0000-0800-000003880000}"/>
            </a:ext>
          </a:extLst>
        </xdr:cNvPr>
        <xdr:cNvGrpSpPr>
          <a:grpSpLocks/>
        </xdr:cNvGrpSpPr>
      </xdr:nvGrpSpPr>
      <xdr:grpSpPr bwMode="auto">
        <a:xfrm>
          <a:off x="863311" y="1536989"/>
          <a:ext cx="819150" cy="866775"/>
          <a:chOff x="130" y="141"/>
          <a:chExt cx="86" cy="91"/>
        </a:xfrm>
      </xdr:grpSpPr>
      <xdr:sp macro="" textlink="">
        <xdr:nvSpPr>
          <xdr:cNvPr id="34826" name="Rectangle 2">
            <a:extLst>
              <a:ext uri="{FF2B5EF4-FFF2-40B4-BE49-F238E27FC236}">
                <a16:creationId xmlns:a16="http://schemas.microsoft.com/office/drawing/2014/main" id="{00000000-0008-0000-0800-00000A880000}"/>
              </a:ext>
            </a:extLst>
          </xdr:cNvPr>
          <xdr:cNvSpPr>
            <a:spLocks noChangeArrowheads="1"/>
          </xdr:cNvSpPr>
        </xdr:nvSpPr>
        <xdr:spPr bwMode="auto">
          <a:xfrm>
            <a:off x="131" y="145"/>
            <a:ext cx="85" cy="87"/>
          </a:xfrm>
          <a:prstGeom prst="rect">
            <a:avLst/>
          </a:prstGeom>
          <a:solidFill>
            <a:srgbClr val="808080"/>
          </a:solidFill>
          <a:ln w="9525">
            <a:solidFill>
              <a:srgbClr val="808080"/>
            </a:solidFill>
            <a:miter lim="800000"/>
            <a:headEnd/>
            <a:tailEnd/>
          </a:ln>
        </xdr:spPr>
      </xdr:sp>
      <xdr:pic>
        <xdr:nvPicPr>
          <xdr:cNvPr id="34827" name="Picture 3" descr="bicycle">
            <a:extLst>
              <a:ext uri="{FF2B5EF4-FFF2-40B4-BE49-F238E27FC236}">
                <a16:creationId xmlns:a16="http://schemas.microsoft.com/office/drawing/2014/main" id="{00000000-0008-0000-0800-00000B8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 y="141"/>
            <a:ext cx="82" cy="88"/>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92075</xdr:colOff>
      <xdr:row>1</xdr:row>
      <xdr:rowOff>19050</xdr:rowOff>
    </xdr:from>
    <xdr:to>
      <xdr:col>8</xdr:col>
      <xdr:colOff>3</xdr:colOff>
      <xdr:row>3</xdr:row>
      <xdr:rowOff>19050</xdr:rowOff>
    </xdr:to>
    <xdr:sp macro="" textlink="">
      <xdr:nvSpPr>
        <xdr:cNvPr id="17418" name="Text Box 10">
          <a:extLst>
            <a:ext uri="{FF2B5EF4-FFF2-40B4-BE49-F238E27FC236}">
              <a16:creationId xmlns:a16="http://schemas.microsoft.com/office/drawing/2014/main" id="{00000000-0008-0000-0800-00000A440000}"/>
            </a:ext>
          </a:extLst>
        </xdr:cNvPr>
        <xdr:cNvSpPr txBox="1">
          <a:spLocks noChangeArrowheads="1"/>
        </xdr:cNvSpPr>
      </xdr:nvSpPr>
      <xdr:spPr bwMode="auto">
        <a:xfrm>
          <a:off x="95250" y="209550"/>
          <a:ext cx="8982075" cy="361950"/>
        </a:xfrm>
        <a:prstGeom prst="rect">
          <a:avLst/>
        </a:prstGeom>
        <a:noFill/>
        <a:ln w="9525">
          <a:noFill/>
          <a:miter lim="800000"/>
          <a:headEnd/>
          <a:tailEnd/>
        </a:ln>
      </xdr:spPr>
      <xdr:txBody>
        <a:bodyPr vertOverflow="clip" wrap="square" lIns="54864" tIns="41148" rIns="0" bIns="0" anchor="t" upright="1"/>
        <a:lstStyle/>
        <a:p>
          <a:pPr algn="l" rtl="0">
            <a:defRPr sz="1000"/>
          </a:pPr>
          <a:r>
            <a:rPr lang="en-AU" sz="2400" b="0" i="0" u="none" strike="noStrike" baseline="0">
              <a:solidFill>
                <a:srgbClr val="FFFFFF"/>
              </a:solidFill>
              <a:latin typeface="Poppins" panose="00000500000000000000" pitchFamily="2" charset="0"/>
              <a:cs typeface="Poppins" panose="00000500000000000000" pitchFamily="2" charset="0"/>
            </a:rPr>
            <a:t>Custom Cost Per Print Analysis Tool</a:t>
          </a:r>
        </a:p>
      </xdr:txBody>
    </xdr:sp>
    <xdr:clientData/>
  </xdr:twoCellAnchor>
  <xdr:twoCellAnchor>
    <xdr:from>
      <xdr:col>2</xdr:col>
      <xdr:colOff>38100</xdr:colOff>
      <xdr:row>7</xdr:row>
      <xdr:rowOff>19050</xdr:rowOff>
    </xdr:from>
    <xdr:to>
      <xdr:col>2</xdr:col>
      <xdr:colOff>1371600</xdr:colOff>
      <xdr:row>12</xdr:row>
      <xdr:rowOff>9525</xdr:rowOff>
    </xdr:to>
    <xdr:grpSp>
      <xdr:nvGrpSpPr>
        <xdr:cNvPr id="34821" name="Group 69">
          <a:extLst>
            <a:ext uri="{FF2B5EF4-FFF2-40B4-BE49-F238E27FC236}">
              <a16:creationId xmlns:a16="http://schemas.microsoft.com/office/drawing/2014/main" id="{00000000-0008-0000-0800-000005880000}"/>
            </a:ext>
          </a:extLst>
        </xdr:cNvPr>
        <xdr:cNvGrpSpPr>
          <a:grpSpLocks/>
        </xdr:cNvGrpSpPr>
      </xdr:nvGrpSpPr>
      <xdr:grpSpPr bwMode="auto">
        <a:xfrm>
          <a:off x="2332759" y="1508414"/>
          <a:ext cx="1333500" cy="942975"/>
          <a:chOff x="245" y="140"/>
          <a:chExt cx="140" cy="99"/>
        </a:xfrm>
      </xdr:grpSpPr>
      <xdr:sp macro="" textlink="">
        <xdr:nvSpPr>
          <xdr:cNvPr id="34824" name="Rectangle 8">
            <a:extLst>
              <a:ext uri="{FF2B5EF4-FFF2-40B4-BE49-F238E27FC236}">
                <a16:creationId xmlns:a16="http://schemas.microsoft.com/office/drawing/2014/main" id="{00000000-0008-0000-0800-000008880000}"/>
              </a:ext>
            </a:extLst>
          </xdr:cNvPr>
          <xdr:cNvSpPr>
            <a:spLocks noChangeArrowheads="1"/>
          </xdr:cNvSpPr>
        </xdr:nvSpPr>
        <xdr:spPr bwMode="auto">
          <a:xfrm>
            <a:off x="249" y="143"/>
            <a:ext cx="136" cy="96"/>
          </a:xfrm>
          <a:prstGeom prst="rect">
            <a:avLst/>
          </a:prstGeom>
          <a:solidFill>
            <a:srgbClr val="808080"/>
          </a:solidFill>
          <a:ln w="9525">
            <a:solidFill>
              <a:srgbClr val="808080"/>
            </a:solidFill>
            <a:miter lim="800000"/>
            <a:headEnd/>
            <a:tailEnd/>
          </a:ln>
        </xdr:spPr>
      </xdr:sp>
      <xdr:pic>
        <xdr:nvPicPr>
          <xdr:cNvPr id="34825" name="Picture 66">
            <a:extLst>
              <a:ext uri="{FF2B5EF4-FFF2-40B4-BE49-F238E27FC236}">
                <a16:creationId xmlns:a16="http://schemas.microsoft.com/office/drawing/2014/main" id="{00000000-0008-0000-0800-0000098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5" y="140"/>
            <a:ext cx="136" cy="9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171450</xdr:colOff>
      <xdr:row>7</xdr:row>
      <xdr:rowOff>28575</xdr:rowOff>
    </xdr:from>
    <xdr:to>
      <xdr:col>4</xdr:col>
      <xdr:colOff>57150</xdr:colOff>
      <xdr:row>11</xdr:row>
      <xdr:rowOff>167640</xdr:rowOff>
    </xdr:to>
    <xdr:pic>
      <xdr:nvPicPr>
        <xdr:cNvPr id="34822" name="Picture 10" descr="Screen shot 2012-07-06 at 10.41.49 AM.png">
          <a:extLst>
            <a:ext uri="{FF2B5EF4-FFF2-40B4-BE49-F238E27FC236}">
              <a16:creationId xmlns:a16="http://schemas.microsoft.com/office/drawing/2014/main" id="{00000000-0008-0000-0800-0000068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71925" y="1343025"/>
          <a:ext cx="1276350" cy="904875"/>
        </a:xfrm>
        <a:prstGeom prst="rect">
          <a:avLst/>
        </a:prstGeom>
        <a:noFill/>
        <a:ln w="9525">
          <a:solidFill>
            <a:srgbClr val="262626"/>
          </a:solidFill>
          <a:miter lim="800000"/>
          <a:headEnd/>
          <a:tailEnd/>
        </a:ln>
        <a:effectLst>
          <a:outerShdw dist="38100" dir="2700000" algn="tl" rotWithShape="0">
            <a:srgbClr val="7F7F7F"/>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1676400</xdr:colOff>
          <xdr:row>16</xdr:row>
          <xdr:rowOff>180975</xdr:rowOff>
        </xdr:from>
        <xdr:to>
          <xdr:col>3</xdr:col>
          <xdr:colOff>9525</xdr:colOff>
          <xdr:row>18</xdr:row>
          <xdr:rowOff>0</xdr:rowOff>
        </xdr:to>
        <xdr:sp macro="" textlink="">
          <xdr:nvSpPr>
            <xdr:cNvPr id="17420" name="Drop Down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17</xdr:row>
          <xdr:rowOff>180975</xdr:rowOff>
        </xdr:from>
        <xdr:to>
          <xdr:col>3</xdr:col>
          <xdr:colOff>9525</xdr:colOff>
          <xdr:row>19</xdr:row>
          <xdr:rowOff>0</xdr:rowOff>
        </xdr:to>
        <xdr:sp macro="" textlink="">
          <xdr:nvSpPr>
            <xdr:cNvPr id="17421" name="Drop Down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180975</xdr:rowOff>
        </xdr:from>
        <xdr:to>
          <xdr:col>3</xdr:col>
          <xdr:colOff>533400</xdr:colOff>
          <xdr:row>15</xdr:row>
          <xdr:rowOff>0</xdr:rowOff>
        </xdr:to>
        <xdr:sp macro="" textlink="">
          <xdr:nvSpPr>
            <xdr:cNvPr id="17432" name="Drop Down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180975</xdr:rowOff>
        </xdr:from>
        <xdr:to>
          <xdr:col>3</xdr:col>
          <xdr:colOff>533400</xdr:colOff>
          <xdr:row>16</xdr:row>
          <xdr:rowOff>0</xdr:rowOff>
        </xdr:to>
        <xdr:sp macro="" textlink="">
          <xdr:nvSpPr>
            <xdr:cNvPr id="17445" name="Drop Down 37"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1676400</xdr:colOff>
          <xdr:row>24</xdr:row>
          <xdr:rowOff>171450</xdr:rowOff>
        </xdr:to>
        <xdr:sp macro="" textlink="">
          <xdr:nvSpPr>
            <xdr:cNvPr id="18275" name="Drop Down 867" hidden="1">
              <a:extLst>
                <a:ext uri="{63B3BB69-23CF-44E3-9099-C40C66FF867C}">
                  <a14:compatExt spid="_x0000_s18275"/>
                </a:ext>
                <a:ext uri="{FF2B5EF4-FFF2-40B4-BE49-F238E27FC236}">
                  <a16:creationId xmlns:a16="http://schemas.microsoft.com/office/drawing/2014/main" id="{00000000-0008-0000-0800-0000634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0</xdr:colOff>
      <xdr:row>2</xdr:row>
      <xdr:rowOff>0</xdr:rowOff>
    </xdr:from>
    <xdr:to>
      <xdr:col>20</xdr:col>
      <xdr:colOff>409575</xdr:colOff>
      <xdr:row>27</xdr:row>
      <xdr:rowOff>209550</xdr:rowOff>
    </xdr:to>
    <xdr:sp macro="" textlink="">
      <xdr:nvSpPr>
        <xdr:cNvPr id="20" name="Rectangle: Rounded Corners 19">
          <a:extLst>
            <a:ext uri="{FF2B5EF4-FFF2-40B4-BE49-F238E27FC236}">
              <a16:creationId xmlns:a16="http://schemas.microsoft.com/office/drawing/2014/main" id="{00000000-0008-0000-0800-000014000000}"/>
            </a:ext>
          </a:extLst>
        </xdr:cNvPr>
        <xdr:cNvSpPr/>
      </xdr:nvSpPr>
      <xdr:spPr>
        <a:xfrm>
          <a:off x="9963150" y="552450"/>
          <a:ext cx="2981325" cy="5057775"/>
        </a:xfrm>
        <a:prstGeom prst="roundRect">
          <a:avLst/>
        </a:prstGeom>
        <a:solidFill>
          <a:schemeClr val="bg1">
            <a:lumMod val="65000"/>
          </a:schemeClr>
        </a:solidFill>
        <a:ln>
          <a:solidFill>
            <a:schemeClr val="bg1">
              <a:lumMod val="6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16</xdr:col>
      <xdr:colOff>28575</xdr:colOff>
      <xdr:row>4</xdr:row>
      <xdr:rowOff>180975</xdr:rowOff>
    </xdr:from>
    <xdr:to>
      <xdr:col>18</xdr:col>
      <xdr:colOff>276225</xdr:colOff>
      <xdr:row>27</xdr:row>
      <xdr:rowOff>209550</xdr:rowOff>
    </xdr:to>
    <xdr:sp macro="" textlink="">
      <xdr:nvSpPr>
        <xdr:cNvPr id="21" name="TextBox 20">
          <a:extLst>
            <a:ext uri="{FF2B5EF4-FFF2-40B4-BE49-F238E27FC236}">
              <a16:creationId xmlns:a16="http://schemas.microsoft.com/office/drawing/2014/main" id="{00000000-0008-0000-0800-000015000000}"/>
            </a:ext>
          </a:extLst>
        </xdr:cNvPr>
        <xdr:cNvSpPr txBox="1"/>
      </xdr:nvSpPr>
      <xdr:spPr>
        <a:xfrm>
          <a:off x="9991725" y="1095375"/>
          <a:ext cx="149542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Feature</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- 5-colour pigment ink system</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Stacker built-in to the stand</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Optional 300ml ink tanks</a:t>
          </a: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Borderless Printing</a:t>
          </a:r>
        </a:p>
      </xdr:txBody>
    </xdr:sp>
    <xdr:clientData/>
  </xdr:twoCellAnchor>
  <xdr:twoCellAnchor>
    <xdr:from>
      <xdr:col>18</xdr:col>
      <xdr:colOff>266700</xdr:colOff>
      <xdr:row>5</xdr:row>
      <xdr:rowOff>0</xdr:rowOff>
    </xdr:from>
    <xdr:to>
      <xdr:col>20</xdr:col>
      <xdr:colOff>342900</xdr:colOff>
      <xdr:row>27</xdr:row>
      <xdr:rowOff>219075</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11477625" y="1104900"/>
          <a:ext cx="1400175" cy="451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Benefits</a:t>
          </a:r>
          <a:endParaRPr lang="en-AU" sz="1100" b="1" u="sng" baseline="0">
            <a:latin typeface="Poppins" panose="00000500000000000000" pitchFamily="2" charset="0"/>
            <a:cs typeface="Poppins" panose="00000500000000000000" pitchFamily="2" charset="0"/>
          </a:endParaRPr>
        </a:p>
        <a:p>
          <a:pPr algn="ctr"/>
          <a:endParaRPr lang="en-AU" sz="1100" baseline="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 Enhanced durability against sunlight and water</a:t>
          </a:r>
        </a:p>
        <a:p>
          <a:pPr algn="l"/>
          <a:endParaRPr lang="en-AU" sz="1100">
            <a:latin typeface="Poppins" panose="00000500000000000000" pitchFamily="2" charset="0"/>
            <a:cs typeface="Poppins" panose="00000500000000000000" pitchFamily="2" charset="0"/>
          </a:endParaRPr>
        </a:p>
        <a:p>
          <a:pPr algn="l"/>
          <a:r>
            <a:rPr lang="en-AU" sz="1100">
              <a:latin typeface="Poppins" panose="00000500000000000000" pitchFamily="2" charset="0"/>
              <a:cs typeface="Poppins" panose="00000500000000000000" pitchFamily="2" charset="0"/>
            </a:rPr>
            <a:t>-</a:t>
          </a:r>
          <a:r>
            <a:rPr lang="en-AU" sz="1100" baseline="0">
              <a:latin typeface="Poppins" panose="00000500000000000000" pitchFamily="2" charset="0"/>
              <a:cs typeface="Poppins" panose="00000500000000000000" pitchFamily="2" charset="0"/>
            </a:rPr>
            <a:t> Collate up to 20 x A0 sheets</a:t>
          </a:r>
        </a:p>
        <a:p>
          <a:pPr algn="l"/>
          <a:endParaRPr lang="en-AU" sz="1100" baseline="0">
            <a:latin typeface="Poppins" panose="00000500000000000000" pitchFamily="2" charset="0"/>
            <a:cs typeface="Poppins" panose="00000500000000000000" pitchFamily="2" charset="0"/>
          </a:endParaRP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Reduce running costs and ink tank changes</a:t>
          </a:r>
        </a:p>
        <a:p>
          <a:pPr algn="l"/>
          <a:endParaRPr lang="en-AU" sz="1100" baseline="0">
            <a:latin typeface="Poppins" panose="00000500000000000000" pitchFamily="2" charset="0"/>
            <a:cs typeface="Poppins" panose="00000500000000000000" pitchFamily="2" charset="0"/>
          </a:endParaRPr>
        </a:p>
        <a:p>
          <a:pPr algn="l"/>
          <a:endParaRPr lang="en-AU" sz="1100" baseline="0">
            <a:latin typeface="Poppins" panose="00000500000000000000" pitchFamily="2" charset="0"/>
            <a:cs typeface="Poppins" panose="00000500000000000000" pitchFamily="2" charset="0"/>
          </a:endParaRPr>
        </a:p>
        <a:p>
          <a:pPr algn="l"/>
          <a:r>
            <a:rPr lang="en-AU" sz="1100" baseline="0">
              <a:latin typeface="Poppins" panose="00000500000000000000" pitchFamily="2" charset="0"/>
              <a:cs typeface="Poppins" panose="00000500000000000000" pitchFamily="2" charset="0"/>
            </a:rPr>
            <a:t>- Reduced finishing time</a:t>
          </a:r>
          <a:endParaRPr lang="en-AU" sz="1100">
            <a:latin typeface="Poppins" panose="00000500000000000000" pitchFamily="2" charset="0"/>
            <a:cs typeface="Poppins" panose="00000500000000000000" pitchFamily="2" charset="0"/>
          </a:endParaRPr>
        </a:p>
      </xdr:txBody>
    </xdr:sp>
    <xdr:clientData/>
  </xdr:twoCellAnchor>
  <xdr:twoCellAnchor>
    <xdr:from>
      <xdr:col>16</xdr:col>
      <xdr:colOff>57150</xdr:colOff>
      <xdr:row>2</xdr:row>
      <xdr:rowOff>152400</xdr:rowOff>
    </xdr:from>
    <xdr:to>
      <xdr:col>20</xdr:col>
      <xdr:colOff>361950</xdr:colOff>
      <xdr:row>4</xdr:row>
      <xdr:rowOff>171450</xdr:rowOff>
    </xdr:to>
    <xdr:sp macro="" textlink="">
      <xdr:nvSpPr>
        <xdr:cNvPr id="23" name="TextBox 22">
          <a:extLst>
            <a:ext uri="{FF2B5EF4-FFF2-40B4-BE49-F238E27FC236}">
              <a16:creationId xmlns:a16="http://schemas.microsoft.com/office/drawing/2014/main" id="{00000000-0008-0000-0800-000017000000}"/>
            </a:ext>
          </a:extLst>
        </xdr:cNvPr>
        <xdr:cNvSpPr txBox="1"/>
      </xdr:nvSpPr>
      <xdr:spPr>
        <a:xfrm>
          <a:off x="10020300" y="704850"/>
          <a:ext cx="28765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latin typeface="Poppins" panose="00000500000000000000" pitchFamily="2" charset="0"/>
              <a:cs typeface="Poppins" panose="00000500000000000000" pitchFamily="2" charset="0"/>
            </a:rPr>
            <a:t>Key Selling</a:t>
          </a:r>
          <a:r>
            <a:rPr lang="en-AU" sz="1100" b="1" u="sng" baseline="0">
              <a:latin typeface="Poppins" panose="00000500000000000000" pitchFamily="2" charset="0"/>
              <a:cs typeface="Poppins" panose="00000500000000000000" pitchFamily="2" charset="0"/>
            </a:rPr>
            <a:t> Points</a:t>
          </a:r>
        </a:p>
      </xdr:txBody>
    </xdr:sp>
    <xdr:clientData/>
  </xdr:twoCellAnchor>
  <xdr:twoCellAnchor>
    <xdr:from>
      <xdr:col>17</xdr:col>
      <xdr:colOff>233796</xdr:colOff>
      <xdr:row>12</xdr:row>
      <xdr:rowOff>77931</xdr:rowOff>
    </xdr:from>
    <xdr:to>
      <xdr:col>19</xdr:col>
      <xdr:colOff>793573</xdr:colOff>
      <xdr:row>12</xdr:row>
      <xdr:rowOff>79396</xdr:rowOff>
    </xdr:to>
    <xdr:cxnSp macro="">
      <xdr:nvCxnSpPr>
        <xdr:cNvPr id="25" name="Straight Connector 24">
          <a:extLst>
            <a:ext uri="{FF2B5EF4-FFF2-40B4-BE49-F238E27FC236}">
              <a16:creationId xmlns:a16="http://schemas.microsoft.com/office/drawing/2014/main" id="{00000000-0008-0000-0800-000019000000}"/>
            </a:ext>
          </a:extLst>
        </xdr:cNvPr>
        <xdr:cNvCxnSpPr/>
      </xdr:nvCxnSpPr>
      <xdr:spPr>
        <a:xfrm flipV="1">
          <a:off x="10529455" y="2519795"/>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221673</xdr:colOff>
      <xdr:row>16</xdr:row>
      <xdr:rowOff>117763</xdr:rowOff>
    </xdr:from>
    <xdr:to>
      <xdr:col>19</xdr:col>
      <xdr:colOff>781450</xdr:colOff>
      <xdr:row>16</xdr:row>
      <xdr:rowOff>119228</xdr:rowOff>
    </xdr:to>
    <xdr:cxnSp macro="">
      <xdr:nvCxnSpPr>
        <xdr:cNvPr id="26" name="Straight Connector 25">
          <a:extLst>
            <a:ext uri="{FF2B5EF4-FFF2-40B4-BE49-F238E27FC236}">
              <a16:creationId xmlns:a16="http://schemas.microsoft.com/office/drawing/2014/main" id="{00000000-0008-0000-0800-00001A000000}"/>
            </a:ext>
          </a:extLst>
        </xdr:cNvPr>
        <xdr:cNvCxnSpPr/>
      </xdr:nvCxnSpPr>
      <xdr:spPr>
        <a:xfrm flipV="1">
          <a:off x="10517332" y="3321627"/>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218210</xdr:colOff>
      <xdr:row>21</xdr:row>
      <xdr:rowOff>122958</xdr:rowOff>
    </xdr:from>
    <xdr:to>
      <xdr:col>19</xdr:col>
      <xdr:colOff>777987</xdr:colOff>
      <xdr:row>21</xdr:row>
      <xdr:rowOff>124423</xdr:rowOff>
    </xdr:to>
    <xdr:cxnSp macro="">
      <xdr:nvCxnSpPr>
        <xdr:cNvPr id="27" name="Straight Connector 26">
          <a:extLst>
            <a:ext uri="{FF2B5EF4-FFF2-40B4-BE49-F238E27FC236}">
              <a16:creationId xmlns:a16="http://schemas.microsoft.com/office/drawing/2014/main" id="{00000000-0008-0000-0800-00001B000000}"/>
            </a:ext>
          </a:extLst>
        </xdr:cNvPr>
        <xdr:cNvCxnSpPr/>
      </xdr:nvCxnSpPr>
      <xdr:spPr>
        <a:xfrm flipV="1">
          <a:off x="10513869" y="4279322"/>
          <a:ext cx="1893277" cy="146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839932</xdr:colOff>
      <xdr:row>4</xdr:row>
      <xdr:rowOff>143151</xdr:rowOff>
    </xdr:from>
    <xdr:to>
      <xdr:col>6</xdr:col>
      <xdr:colOff>1004455</xdr:colOff>
      <xdr:row>14</xdr:row>
      <xdr:rowOff>79921</xdr:rowOff>
    </xdr:to>
    <xdr:pic>
      <xdr:nvPicPr>
        <xdr:cNvPr id="2" name="Picture 1" descr="Canon imagePROGRAF TM-350 » CityBlue Technologies">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000" b="96250" l="9193" r="91182">
                      <a14:foregroundMark x1="15009" y1="14250" x2="19137" y2="13750"/>
                      <a14:foregroundMark x1="26266" y1="7000" x2="54784" y2="11750"/>
                      <a14:foregroundMark x1="86679" y1="10750" x2="91182" y2="15500"/>
                      <a14:foregroundMark x1="75422" y1="91500" x2="77298" y2="91250"/>
                      <a14:foregroundMark x1="75235" y1="96250" x2="77111" y2="95500"/>
                      <a14:foregroundMark x1="13508" y1="65250" x2="14822" y2="68250"/>
                      <a14:foregroundMark x1="9193" y1="24000" x2="9193" y2="24000"/>
                      <a14:foregroundMark x1="15009" y1="72000" x2="15009" y2="72000"/>
                      <a14:backgroundMark x1="75422" y1="86250" x2="75422" y2="86250"/>
                      <a14:backgroundMark x1="71295" y1="79000" x2="71295" y2="79000"/>
                      <a14:backgroundMark x1="14447" y1="64750" x2="14447" y2="64750"/>
                      <a14:backgroundMark x1="12758" y1="58250" x2="12758" y2="58250"/>
                    </a14:backgroundRemoval>
                  </a14:imgEffect>
                </a14:imgLayer>
              </a14:imgProps>
            </a:ext>
            <a:ext uri="{28A0092B-C50C-407E-A947-70E740481C1C}">
              <a14:useLocalDpi xmlns:a14="http://schemas.microsoft.com/office/drawing/2010/main" val="0"/>
            </a:ext>
          </a:extLst>
        </a:blip>
        <a:srcRect/>
        <a:stretch>
          <a:fillRect/>
        </a:stretch>
      </xdr:blipFill>
      <xdr:spPr bwMode="auto">
        <a:xfrm>
          <a:off x="6044046" y="1061015"/>
          <a:ext cx="2459182" cy="184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9.vml"/><Relationship Id="rId7" Type="http://schemas.openxmlformats.org/officeDocument/2006/relationships/ctrlProp" Target="../ctrlProps/ctrlProp43.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image" Target="../media/image17.png"/><Relationship Id="rId9" Type="http://schemas.openxmlformats.org/officeDocument/2006/relationships/ctrlProp" Target="../ctrlProps/ctrlProp4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10.vml"/><Relationship Id="rId7" Type="http://schemas.openxmlformats.org/officeDocument/2006/relationships/ctrlProp" Target="../ctrlProps/ctrlProp48.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image" Target="../media/image6.jpeg"/><Relationship Id="rId9" Type="http://schemas.openxmlformats.org/officeDocument/2006/relationships/ctrlProp" Target="../ctrlProps/ctrlProp5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6.jpeg"/><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image" Target="../media/image6.jpeg"/><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image" Target="../media/image6.jpeg"/><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image" Target="../media/image17.png"/><Relationship Id="rId9"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5.vml"/><Relationship Id="rId7" Type="http://schemas.openxmlformats.org/officeDocument/2006/relationships/ctrlProp" Target="../ctrlProps/ctrlProp2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image" Target="../media/image17.png"/><Relationship Id="rId9"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6.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image" Target="../media/image17.png"/><Relationship Id="rId9" Type="http://schemas.openxmlformats.org/officeDocument/2006/relationships/ctrlProp" Target="../ctrlProps/ctrlProp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7.vml"/><Relationship Id="rId7" Type="http://schemas.openxmlformats.org/officeDocument/2006/relationships/ctrlProp" Target="../ctrlProps/ctrlProp33.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image" Target="../media/image6.jpeg"/><Relationship Id="rId9"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8.vml"/><Relationship Id="rId7" Type="http://schemas.openxmlformats.org/officeDocument/2006/relationships/ctrlProp" Target="../ctrlProps/ctrlProp38.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image" Target="../media/image6.jpeg"/><Relationship Id="rId9"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8"/>
    <pageSetUpPr autoPageBreaks="0"/>
  </sheetPr>
  <dimension ref="A1:I21"/>
  <sheetViews>
    <sheetView showGridLines="0" zoomScale="120" zoomScaleNormal="120" workbookViewId="0">
      <selection activeCell="P17" sqref="P17"/>
    </sheetView>
  </sheetViews>
  <sheetFormatPr defaultRowHeight="15" x14ac:dyDescent="0.25"/>
  <cols>
    <col min="1" max="1" width="2.7109375" customWidth="1"/>
    <col min="2" max="2" width="9.7109375" customWidth="1"/>
    <col min="3" max="7" width="12.7109375" customWidth="1"/>
    <col min="8" max="8" width="9.7109375" customWidth="1"/>
    <col min="9" max="9" width="2.7109375" customWidth="1"/>
    <col min="10" max="10" width="12.7109375" customWidth="1"/>
  </cols>
  <sheetData>
    <row r="1" spans="1:9" ht="15" customHeight="1" x14ac:dyDescent="0.25">
      <c r="B1" s="224"/>
      <c r="C1" s="225"/>
      <c r="D1" s="225"/>
      <c r="E1" s="225"/>
      <c r="F1" s="225"/>
      <c r="G1" s="225"/>
      <c r="H1" s="225"/>
    </row>
    <row r="2" spans="1:9" ht="25.5" customHeight="1" x14ac:dyDescent="0.25">
      <c r="B2" s="225"/>
      <c r="C2" s="225"/>
      <c r="D2" s="225"/>
      <c r="E2" s="225"/>
      <c r="F2" s="225"/>
      <c r="G2" s="225"/>
      <c r="H2" s="225"/>
    </row>
    <row r="3" spans="1:9" ht="24.75" customHeight="1" x14ac:dyDescent="0.3">
      <c r="C3" s="229"/>
      <c r="D3" s="230"/>
      <c r="E3" s="230"/>
      <c r="F3" s="230"/>
      <c r="G3" s="230"/>
    </row>
    <row r="4" spans="1:9" ht="36" customHeight="1" x14ac:dyDescent="0.25"/>
    <row r="5" spans="1:9" ht="30" customHeight="1" x14ac:dyDescent="0.25">
      <c r="A5" s="233"/>
      <c r="B5" s="233"/>
      <c r="C5" s="233"/>
      <c r="D5" s="233"/>
      <c r="E5" s="233"/>
      <c r="F5" s="233"/>
      <c r="G5" s="233"/>
      <c r="H5" s="233"/>
      <c r="I5" s="233"/>
    </row>
    <row r="6" spans="1:9" ht="146.25" customHeight="1" x14ac:dyDescent="0.25">
      <c r="A6" s="5"/>
      <c r="B6" s="231"/>
      <c r="C6" s="232"/>
      <c r="D6" s="232"/>
      <c r="E6" s="232"/>
      <c r="F6" s="232"/>
      <c r="G6" s="232"/>
      <c r="H6" s="232"/>
      <c r="I6" s="5"/>
    </row>
    <row r="7" spans="1:9" ht="15" customHeight="1" x14ac:dyDescent="0.25"/>
    <row r="8" spans="1:9" ht="15" customHeight="1" x14ac:dyDescent="0.25">
      <c r="B8" s="8"/>
    </row>
    <row r="9" spans="1:9" ht="15" customHeight="1" x14ac:dyDescent="0.25">
      <c r="B9" s="226"/>
      <c r="C9" s="227"/>
      <c r="D9" s="227"/>
      <c r="E9" s="227"/>
      <c r="F9" s="227"/>
      <c r="G9" s="227"/>
      <c r="H9" s="227"/>
    </row>
    <row r="10" spans="1:9" ht="15" customHeight="1" x14ac:dyDescent="0.25">
      <c r="B10" s="8"/>
    </row>
    <row r="11" spans="1:9" ht="15" customHeight="1" x14ac:dyDescent="0.25">
      <c r="B11" s="226"/>
      <c r="C11" s="227"/>
      <c r="D11" s="227"/>
      <c r="E11" s="227"/>
      <c r="F11" s="227"/>
      <c r="G11" s="227"/>
      <c r="H11" s="227"/>
    </row>
    <row r="12" spans="1:9" ht="15" customHeight="1" x14ac:dyDescent="0.25">
      <c r="B12" s="9"/>
    </row>
    <row r="13" spans="1:9" ht="15" customHeight="1" x14ac:dyDescent="0.25"/>
    <row r="20" spans="2:8" ht="38.25" customHeight="1" x14ac:dyDescent="0.25"/>
    <row r="21" spans="2:8" ht="170.25" customHeight="1" x14ac:dyDescent="0.25">
      <c r="B21" s="228"/>
      <c r="C21" s="228"/>
      <c r="D21" s="228"/>
      <c r="E21" s="228"/>
      <c r="F21" s="228"/>
      <c r="G21" s="228"/>
      <c r="H21" s="228"/>
    </row>
  </sheetData>
  <sheetProtection algorithmName="SHA-512" hashValue="+8MVLNT5dwTg8o7W/u82i2WR2h0Kmos/A+iMQ/jf9eUGcsh/D7YEyesAiBP4Z/2gFK0Rddk4lPHWLST5rewt+g==" saltValue="R8/y/FB+pw1w+h5VBk+XNA==" spinCount="100000" sheet="1" objects="1" scenarios="1" selectLockedCells="1" selectUnlockedCells="1"/>
  <mergeCells count="7">
    <mergeCell ref="B1:H2"/>
    <mergeCell ref="B9:H9"/>
    <mergeCell ref="B11:H11"/>
    <mergeCell ref="B21:H21"/>
    <mergeCell ref="C3:G3"/>
    <mergeCell ref="B6:H6"/>
    <mergeCell ref="A5:I5"/>
  </mergeCells>
  <phoneticPr fontId="5" type="noConversion"/>
  <pageMargins left="0.7" right="0.7" top="0.5" bottom="0.5" header="0.3" footer="0.3"/>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54"/>
    <pageSetUpPr autoPageBreaks="0" fitToPage="1"/>
  </sheetPr>
  <dimension ref="A1:AP58"/>
  <sheetViews>
    <sheetView showGridLines="0" workbookViewId="0">
      <selection activeCell="C20" sqref="C20"/>
    </sheetView>
  </sheetViews>
  <sheetFormatPr defaultColWidth="9.140625" defaultRowHeight="15" x14ac:dyDescent="0.25"/>
  <cols>
    <col min="2" max="2" width="25.28515625" customWidth="1"/>
    <col min="3" max="3" width="22.5703125" customWidth="1"/>
    <col min="4" max="4" width="29.5703125" customWidth="1"/>
    <col min="5" max="5" width="17.5703125" customWidth="1"/>
    <col min="6" max="6" width="16.85546875" customWidth="1"/>
    <col min="7" max="7" width="10.140625" customWidth="1"/>
    <col min="8" max="8" width="5" customWidth="1"/>
    <col min="9" max="9" width="13.7109375" hidden="1" customWidth="1"/>
    <col min="10" max="10" width="33.7109375" hidden="1" customWidth="1"/>
    <col min="11" max="11" width="10.7109375" hidden="1" customWidth="1"/>
    <col min="12" max="12" width="13.7109375" hidden="1" customWidth="1"/>
    <col min="13" max="13" width="33.7109375" hidden="1" customWidth="1"/>
    <col min="14" max="14" width="10.7109375" hidden="1" customWidth="1"/>
    <col min="15" max="15" width="9.140625" hidden="1" customWidth="1"/>
    <col min="17" max="17" width="12.85546875" customWidth="1"/>
    <col min="18" max="18" width="29.42578125" customWidth="1"/>
    <col min="19" max="19" width="6.140625" customWidth="1"/>
    <col min="20" max="20" width="13.7109375" customWidth="1"/>
    <col min="21" max="21" width="33.7109375" customWidth="1"/>
    <col min="22" max="22" width="7.5703125" customWidth="1"/>
    <col min="25" max="25" width="5.7109375" customWidth="1"/>
  </cols>
  <sheetData>
    <row r="1" spans="1:42" x14ac:dyDescent="0.25">
      <c r="A1" s="224"/>
      <c r="B1" s="241"/>
      <c r="C1" s="241"/>
      <c r="D1" s="241"/>
      <c r="E1" s="241"/>
      <c r="F1" s="83"/>
      <c r="G1" s="83"/>
      <c r="H1" s="83"/>
      <c r="I1" s="83"/>
      <c r="J1" s="83"/>
      <c r="K1" s="83"/>
      <c r="L1" s="83"/>
      <c r="M1" s="83"/>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row>
    <row r="2" spans="1:42" x14ac:dyDescent="0.25">
      <c r="A2" s="241"/>
      <c r="B2" s="241"/>
      <c r="C2" s="241"/>
      <c r="D2" s="241"/>
      <c r="E2" s="241"/>
      <c r="F2" s="83"/>
      <c r="G2" s="83"/>
      <c r="H2" s="83"/>
      <c r="I2" s="83"/>
      <c r="J2" s="83"/>
      <c r="K2" s="83"/>
      <c r="L2" s="83"/>
      <c r="M2" s="83"/>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row>
    <row r="3" spans="1:42" ht="13.5" customHeight="1" x14ac:dyDescent="0.25">
      <c r="A3" s="242"/>
      <c r="B3" s="242"/>
      <c r="C3" s="242"/>
      <c r="D3" s="242"/>
      <c r="E3" s="242"/>
      <c r="F3" s="10"/>
      <c r="G3" s="10"/>
      <c r="H3" s="10"/>
      <c r="I3" s="10"/>
      <c r="J3" s="10"/>
      <c r="K3" s="10"/>
      <c r="L3" s="10"/>
      <c r="M3" s="10"/>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row>
    <row r="4" spans="1:42" ht="15" customHeight="1" x14ac:dyDescent="0.25">
      <c r="A4" s="10"/>
      <c r="B4" s="10"/>
      <c r="C4" s="10"/>
      <c r="D4" s="10"/>
      <c r="E4" s="10"/>
      <c r="F4" s="10"/>
      <c r="G4" s="10"/>
      <c r="H4" s="10"/>
      <c r="I4" s="10"/>
      <c r="J4" s="10"/>
      <c r="K4" s="10"/>
      <c r="L4" s="10"/>
      <c r="M4" s="10"/>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row>
    <row r="5" spans="1:42" ht="15" customHeight="1" x14ac:dyDescent="0.25">
      <c r="B5" s="38"/>
      <c r="C5" s="39"/>
      <c r="D5" s="40"/>
      <c r="E5" s="23"/>
      <c r="F5" s="23"/>
      <c r="G5" s="23"/>
      <c r="H5" s="23"/>
      <c r="I5" s="23"/>
      <c r="J5" s="23"/>
      <c r="K5" s="23"/>
      <c r="L5" s="23"/>
      <c r="M5" s="23"/>
      <c r="N5" s="6"/>
      <c r="O5" s="6"/>
      <c r="P5" s="55"/>
      <c r="Q5" s="55"/>
      <c r="R5" s="67"/>
      <c r="S5" s="67"/>
      <c r="T5" s="67"/>
      <c r="U5" s="22"/>
      <c r="V5" s="22"/>
      <c r="W5" s="22"/>
      <c r="X5" s="22"/>
      <c r="Y5" s="22"/>
      <c r="Z5" s="22"/>
      <c r="AA5" s="22"/>
      <c r="AB5" s="22"/>
      <c r="AC5" s="22"/>
      <c r="AD5" s="22"/>
      <c r="AE5" s="22"/>
      <c r="AF5" s="22"/>
      <c r="AG5" s="22"/>
      <c r="AH5" s="22"/>
      <c r="AI5" s="22"/>
      <c r="AJ5" s="22"/>
      <c r="AK5" s="22"/>
      <c r="AL5" s="22"/>
      <c r="AM5" s="22"/>
      <c r="AN5" s="22"/>
      <c r="AO5" s="22"/>
      <c r="AP5" s="22"/>
    </row>
    <row r="6" spans="1:42" ht="15" customHeight="1" x14ac:dyDescent="0.25">
      <c r="B6" s="34"/>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row>
    <row r="7" spans="1:42" ht="15" customHeight="1" thickBot="1" x14ac:dyDescent="0.3">
      <c r="B7" s="36" t="s">
        <v>117</v>
      </c>
      <c r="C7" s="36" t="s">
        <v>188</v>
      </c>
      <c r="D7" s="36" t="s">
        <v>189</v>
      </c>
      <c r="J7" s="66" t="s">
        <v>6</v>
      </c>
      <c r="K7" s="68"/>
      <c r="M7" s="69" t="s">
        <v>25</v>
      </c>
      <c r="N7" s="69"/>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row>
    <row r="8" spans="1:42" ht="15" customHeight="1" x14ac:dyDescent="0.25">
      <c r="B8" s="34"/>
      <c r="I8" t="s">
        <v>4</v>
      </c>
      <c r="J8" s="70" t="s">
        <v>120</v>
      </c>
      <c r="K8" s="71" t="s">
        <v>3</v>
      </c>
      <c r="L8" t="s">
        <v>7</v>
      </c>
      <c r="M8" s="70" t="s">
        <v>170</v>
      </c>
      <c r="N8" s="71"/>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row>
    <row r="9" spans="1:42" ht="15" customHeight="1" thickBot="1" x14ac:dyDescent="0.3">
      <c r="B9" s="34"/>
      <c r="I9" s="81">
        <v>1</v>
      </c>
      <c r="J9" s="72" t="str">
        <f>VLOOKUP(I9,'Back-End'!$A$119:$C$138,2,FALSE)</f>
        <v>Click to select width…</v>
      </c>
      <c r="K9" s="73">
        <f>VLOOKUP(I9,'Back-End'!$A$119:$C$138,3,FALSE)</f>
        <v>0</v>
      </c>
      <c r="L9" s="3">
        <f>I9+K9</f>
        <v>1</v>
      </c>
      <c r="M9" s="74">
        <f>VLOOKUP($L9,'Back-End'!$H$119:$I$138,2,FALSE)</f>
        <v>0</v>
      </c>
      <c r="N9" s="75"/>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row>
    <row r="10" spans="1:42" ht="15" customHeight="1" thickBot="1" x14ac:dyDescent="0.3">
      <c r="B10" s="34"/>
      <c r="J10" s="66" t="s">
        <v>6</v>
      </c>
      <c r="K10" s="68"/>
      <c r="M10" s="69" t="s">
        <v>25</v>
      </c>
      <c r="N10" s="69"/>
      <c r="P10" s="22"/>
      <c r="Q10" s="22"/>
      <c r="R10" s="76"/>
      <c r="S10" s="77"/>
      <c r="T10" s="22"/>
      <c r="U10" s="76"/>
      <c r="V10" s="76"/>
      <c r="W10" s="22"/>
      <c r="X10" s="22"/>
      <c r="Y10" s="22"/>
      <c r="Z10" s="22"/>
      <c r="AA10" s="22"/>
      <c r="AB10" s="22"/>
      <c r="AC10" s="22"/>
      <c r="AD10" s="22"/>
      <c r="AE10" s="22"/>
      <c r="AF10" s="22"/>
      <c r="AG10" s="22"/>
      <c r="AH10" s="22"/>
      <c r="AI10" s="22"/>
      <c r="AJ10" s="22"/>
      <c r="AK10" s="22"/>
      <c r="AL10" s="22"/>
      <c r="AM10" s="22"/>
      <c r="AN10" s="22"/>
      <c r="AO10" s="22"/>
      <c r="AP10" s="22"/>
    </row>
    <row r="11" spans="1:42" ht="15" customHeight="1" x14ac:dyDescent="0.25">
      <c r="B11" s="34"/>
      <c r="I11" t="s">
        <v>4</v>
      </c>
      <c r="J11" s="70" t="s">
        <v>148</v>
      </c>
      <c r="K11" s="71" t="s">
        <v>3</v>
      </c>
      <c r="L11" t="s">
        <v>7</v>
      </c>
      <c r="M11" s="70" t="s">
        <v>170</v>
      </c>
      <c r="N11" s="71" t="s">
        <v>171</v>
      </c>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row>
    <row r="12" spans="1:42" s="7" customFormat="1" ht="15" customHeight="1" thickBot="1" x14ac:dyDescent="0.3">
      <c r="I12" s="81">
        <v>1</v>
      </c>
      <c r="J12" s="72" t="str">
        <f>VLOOKUP(I12,'Back-End'!$A$143:$C$163,2,FALSE)</f>
        <v>Click to select size…</v>
      </c>
      <c r="K12" s="73">
        <f>VLOOKUP(I12,'Back-End'!$A$143:$C$1166,3,FALSE)</f>
        <v>0</v>
      </c>
      <c r="L12" s="3">
        <f>I12+K12</f>
        <v>1</v>
      </c>
      <c r="M12" s="74" t="e">
        <f>VLOOKUP($L12,'Back-End'!$H$144:$I$164,2,FALSE)</f>
        <v>#N/A</v>
      </c>
      <c r="N12" s="74" t="e">
        <f>VLOOKUP($L12,'Back-End'!$J$144:$K$164,2,FALSE)</f>
        <v>#N/A</v>
      </c>
      <c r="P12" s="49"/>
      <c r="Q12" s="50"/>
      <c r="R12" s="50"/>
      <c r="S12" s="50"/>
      <c r="T12" s="50"/>
      <c r="U12" s="78"/>
      <c r="V12" s="78"/>
      <c r="W12" s="49"/>
      <c r="X12" s="49"/>
      <c r="Y12" s="49"/>
      <c r="Z12" s="49"/>
      <c r="AA12" s="49"/>
      <c r="AB12" s="49"/>
      <c r="AC12" s="49"/>
      <c r="AD12" s="49"/>
      <c r="AE12" s="49"/>
      <c r="AF12" s="49"/>
      <c r="AG12" s="49"/>
      <c r="AH12" s="49"/>
      <c r="AI12" s="49"/>
      <c r="AJ12" s="49"/>
      <c r="AK12" s="49"/>
      <c r="AL12" s="49"/>
      <c r="AM12" s="49"/>
      <c r="AN12" s="49"/>
      <c r="AO12" s="49"/>
      <c r="AP12" s="49"/>
    </row>
    <row r="13" spans="1:42" ht="15" customHeight="1" thickBot="1" x14ac:dyDescent="0.3">
      <c r="B13" s="37" t="s">
        <v>72</v>
      </c>
      <c r="C13" s="37" t="s">
        <v>73</v>
      </c>
      <c r="D13" s="37" t="s">
        <v>190</v>
      </c>
      <c r="J13" s="66" t="s">
        <v>6</v>
      </c>
      <c r="K13" s="68"/>
      <c r="M13" s="69" t="s">
        <v>25</v>
      </c>
      <c r="N13" s="69"/>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row>
    <row r="14" spans="1:42" ht="15" customHeight="1" x14ac:dyDescent="0.3">
      <c r="B14" s="35"/>
      <c r="I14" t="s">
        <v>4</v>
      </c>
      <c r="J14" s="70" t="s">
        <v>147</v>
      </c>
      <c r="K14" s="71" t="s">
        <v>3</v>
      </c>
      <c r="L14" t="s">
        <v>7</v>
      </c>
      <c r="M14" s="70" t="s">
        <v>172</v>
      </c>
      <c r="N14" s="71"/>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2" ht="15" customHeight="1" thickBot="1" x14ac:dyDescent="0.3">
      <c r="B15" s="29" t="s">
        <v>24</v>
      </c>
      <c r="C15" s="26"/>
      <c r="I15" s="81">
        <v>1</v>
      </c>
      <c r="J15" s="72" t="str">
        <f>VLOOKUP(I15,'Back-End'!$D$119:$F$127,2,FALSE)</f>
        <v>Click to select length…</v>
      </c>
      <c r="K15" s="73">
        <f>VLOOKUP(I15,'Back-End'!$D$119:$F$127,3,FALSE)</f>
        <v>1</v>
      </c>
      <c r="L15" s="3">
        <f>I15+K15</f>
        <v>2</v>
      </c>
      <c r="M15" s="74" t="e">
        <f>VLOOKUP($L15,'Back-End'!$J$120:$K$127,2,FALSE)</f>
        <v>#N/A</v>
      </c>
      <c r="N15" s="75"/>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2" ht="15" customHeight="1" x14ac:dyDescent="0.25">
      <c r="B16" s="29" t="s">
        <v>17</v>
      </c>
      <c r="C16" s="26"/>
      <c r="D16" s="24"/>
      <c r="E16" s="24"/>
      <c r="F16" s="24"/>
      <c r="J16" s="24"/>
      <c r="K16" s="24"/>
      <c r="L16" s="24"/>
      <c r="M16" s="24"/>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3" customFormat="1" ht="15" customHeight="1" thickBot="1" x14ac:dyDescent="0.3">
      <c r="A17" s="24"/>
      <c r="B17" s="28" t="s">
        <v>29</v>
      </c>
      <c r="C17" s="28"/>
      <c r="D17" s="24"/>
      <c r="E17" s="24"/>
      <c r="F17" s="24"/>
      <c r="I17"/>
      <c r="J17" s="66" t="s">
        <v>6</v>
      </c>
      <c r="K17" s="68"/>
      <c r="L17"/>
      <c r="M17"/>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row>
    <row r="18" spans="1:42" ht="15" customHeight="1" x14ac:dyDescent="0.25">
      <c r="B18" s="29" t="s">
        <v>111</v>
      </c>
      <c r="C18" s="33">
        <v>0</v>
      </c>
      <c r="D18" s="24"/>
      <c r="E18" s="28" t="s">
        <v>26</v>
      </c>
      <c r="F18" s="30"/>
      <c r="G18" s="28"/>
      <c r="I18" t="s">
        <v>4</v>
      </c>
      <c r="J18" s="70" t="s">
        <v>5</v>
      </c>
      <c r="K18" s="71" t="s">
        <v>3</v>
      </c>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2" ht="15" customHeight="1" thickBot="1" x14ac:dyDescent="0.3">
      <c r="B19" s="29" t="s">
        <v>112</v>
      </c>
      <c r="C19" s="33">
        <v>0</v>
      </c>
      <c r="D19" s="24"/>
      <c r="E19" s="31"/>
      <c r="F19" s="25" t="s">
        <v>187</v>
      </c>
      <c r="G19" s="25"/>
      <c r="I19" s="82">
        <v>1</v>
      </c>
      <c r="J19" s="79" t="str">
        <f>VLOOKUP(I19,'Back-End'!$A$85:$C$87,2,FALSE)</f>
        <v>Mono CAD File</v>
      </c>
      <c r="K19" s="80">
        <f>VLOOKUP(I19,'Back-End'!$A$85:$C$87,3,FALSE)</f>
        <v>10</v>
      </c>
      <c r="L19" s="3"/>
      <c r="M19" s="3"/>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ht="15" customHeight="1" thickBot="1" x14ac:dyDescent="0.3">
      <c r="B20" s="29" t="s">
        <v>18</v>
      </c>
      <c r="C20" s="46">
        <v>0</v>
      </c>
      <c r="D20" s="62"/>
      <c r="E20" s="29" t="s">
        <v>21</v>
      </c>
      <c r="F20" s="32" t="str">
        <f>IFERROR((K26*((M12/1000*N12/1000))*(C22/130)),"-")</f>
        <v>-</v>
      </c>
      <c r="G20" s="62"/>
      <c r="J20" s="66" t="s">
        <v>6</v>
      </c>
      <c r="K20" s="66"/>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s="3" customFormat="1" ht="15" customHeight="1" x14ac:dyDescent="0.25">
      <c r="B21" s="28" t="s">
        <v>28</v>
      </c>
      <c r="C21" s="28"/>
      <c r="D21" s="24"/>
      <c r="E21" s="29" t="s">
        <v>22</v>
      </c>
      <c r="F21" s="32" t="str">
        <f>IFERROR(((M12/1000*N12/1000))*(F24),"-")</f>
        <v>-</v>
      </c>
      <c r="G21" s="62"/>
      <c r="I21" t="s">
        <v>4</v>
      </c>
      <c r="J21" s="70" t="s">
        <v>5</v>
      </c>
      <c r="K21" s="71" t="s">
        <v>3</v>
      </c>
      <c r="L21"/>
      <c r="M21"/>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row>
    <row r="22" spans="1:42" ht="15" customHeight="1" thickBot="1" x14ac:dyDescent="0.3">
      <c r="B22" s="29" t="s">
        <v>71</v>
      </c>
      <c r="C22" s="47">
        <v>0</v>
      </c>
      <c r="D22" s="24"/>
      <c r="E22" s="88" t="s">
        <v>23</v>
      </c>
      <c r="F22" s="89" t="str">
        <f>IFERROR(F20+F21,"-")</f>
        <v>-</v>
      </c>
      <c r="G22" s="64"/>
      <c r="I22" s="82">
        <v>1</v>
      </c>
      <c r="J22" s="79" t="str">
        <f>VLOOKUP($I22,'Back-End'!$D$85:$F$90,2,FALSE)</f>
        <v>Universal Bond (Draft)</v>
      </c>
      <c r="K22" s="80">
        <f>VLOOKUP($I22,'Back-End'!$D$85:$F$90,3,FALSE)</f>
        <v>1</v>
      </c>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row>
    <row r="23" spans="1:42" ht="15" customHeight="1" x14ac:dyDescent="0.25">
      <c r="B23" s="28" t="s">
        <v>27</v>
      </c>
      <c r="C23" s="25"/>
      <c r="D23" s="24"/>
      <c r="E23" s="29" t="s">
        <v>113</v>
      </c>
      <c r="F23" s="86" t="str">
        <f>IFERROR(F20/((M12/1000*N12/1000)),"-")</f>
        <v>-</v>
      </c>
      <c r="G23" s="62"/>
      <c r="L23" s="3"/>
      <c r="M23" s="3"/>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1:42" s="3" customFormat="1" ht="15" customHeight="1" thickBot="1" x14ac:dyDescent="0.3">
      <c r="B24"/>
      <c r="C24"/>
      <c r="D24" s="42"/>
      <c r="E24" s="85" t="s">
        <v>114</v>
      </c>
      <c r="F24" s="32" t="str">
        <f>IFERROR(C20/((M15*M9/1000)),"-")</f>
        <v>-</v>
      </c>
      <c r="H24" s="24"/>
      <c r="I24"/>
      <c r="J24" s="69" t="s">
        <v>25</v>
      </c>
      <c r="K24" s="69"/>
      <c r="L24"/>
      <c r="M24"/>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row>
    <row r="25" spans="1:42" ht="15" customHeight="1" x14ac:dyDescent="0.25">
      <c r="B25" s="61" t="s">
        <v>180</v>
      </c>
      <c r="C25" s="53" t="s">
        <v>181</v>
      </c>
      <c r="D25" s="24"/>
      <c r="E25" s="48" t="s">
        <v>115</v>
      </c>
      <c r="F25" s="87" t="str">
        <f>IFERROR(F23+F24,"-")</f>
        <v>-</v>
      </c>
      <c r="G25" s="64"/>
      <c r="H25" s="24"/>
      <c r="I25" t="s">
        <v>7</v>
      </c>
      <c r="J25" s="70" t="s">
        <v>13</v>
      </c>
      <c r="K25" s="71" t="s">
        <v>14</v>
      </c>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row>
    <row r="26" spans="1:42" ht="15" customHeight="1" thickBot="1" x14ac:dyDescent="0.3">
      <c r="B26" s="54" t="str">
        <f>IFERROR(M12,"-")</f>
        <v>-</v>
      </c>
      <c r="C26" s="54" t="str">
        <f>IFERROR(N12,"-")</f>
        <v>-</v>
      </c>
      <c r="D26" s="24"/>
      <c r="E26" s="29" t="s">
        <v>199</v>
      </c>
      <c r="F26" s="33" t="str">
        <f>IFERROR((130*5)/(K26)/(M12/1000*N12/1000),"-")</f>
        <v>-</v>
      </c>
      <c r="G26" s="63"/>
      <c r="H26" s="24"/>
      <c r="I26" s="82">
        <f>K19+K22</f>
        <v>11</v>
      </c>
      <c r="J26" s="79" t="str">
        <f>VLOOKUP($I26,'Back-End'!$H$85:$K$100,2,FALSE)</f>
        <v>Mono CAD File- Univ. Bond (Draft)</v>
      </c>
      <c r="K26" s="80">
        <f>VLOOKUP($I26,'Back-End'!$H$85:$K$100,3,FALSE)</f>
        <v>0.16869999999999999</v>
      </c>
      <c r="L26" s="3"/>
      <c r="M26" s="3"/>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row>
    <row r="27" spans="1:42" ht="15.75" x14ac:dyDescent="0.25">
      <c r="D27" s="24"/>
      <c r="E27" s="24"/>
      <c r="F27" s="24"/>
      <c r="G27" s="24"/>
      <c r="H27" s="24"/>
      <c r="I27" s="24"/>
      <c r="J27" s="24"/>
      <c r="K27" s="24"/>
      <c r="L27" s="24"/>
      <c r="M27" s="24"/>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row>
    <row r="28" spans="1:42" ht="15.75" x14ac:dyDescent="0.25">
      <c r="E28" s="24"/>
      <c r="F28" s="24"/>
      <c r="G28" s="24"/>
      <c r="H28" s="24"/>
      <c r="I28" s="24"/>
      <c r="J28" s="24"/>
      <c r="K28" s="24"/>
      <c r="L28" s="24"/>
      <c r="M28" s="24"/>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row>
    <row r="29" spans="1:42" ht="15.75" x14ac:dyDescent="0.25">
      <c r="C29" s="236" t="s">
        <v>201</v>
      </c>
      <c r="D29" s="236"/>
      <c r="E29" s="236"/>
      <c r="F29" s="236"/>
      <c r="G29" s="26"/>
      <c r="H29" s="26"/>
      <c r="I29" s="26"/>
      <c r="J29" s="26"/>
      <c r="K29" s="26"/>
      <c r="L29" s="26"/>
      <c r="M29" s="26"/>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row>
    <row r="30" spans="1:42" ht="15.75" x14ac:dyDescent="0.25">
      <c r="C30" s="236"/>
      <c r="D30" s="236"/>
      <c r="E30" s="236"/>
      <c r="F30" s="236"/>
      <c r="G30" s="27"/>
      <c r="H30" s="27"/>
      <c r="I30" s="27"/>
      <c r="J30" s="27"/>
      <c r="K30" s="27"/>
      <c r="L30" s="27"/>
      <c r="M30" s="27"/>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row>
    <row r="31" spans="1:42" ht="15.75" x14ac:dyDescent="0.25">
      <c r="A31" s="22"/>
      <c r="B31" s="22"/>
      <c r="C31" s="22"/>
      <c r="D31" s="22"/>
      <c r="E31" s="51"/>
      <c r="F31" s="51"/>
      <c r="G31" s="51"/>
      <c r="H31" s="51"/>
      <c r="I31" s="51"/>
      <c r="J31" s="51"/>
      <c r="K31" s="51"/>
      <c r="L31" s="51"/>
      <c r="M31" s="51"/>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row>
    <row r="32" spans="1:42" ht="15.75" x14ac:dyDescent="0.25">
      <c r="A32" s="22"/>
      <c r="B32" s="22"/>
      <c r="C32" s="22"/>
      <c r="D32" s="22"/>
      <c r="E32" s="51"/>
      <c r="F32" s="51"/>
      <c r="G32" s="51"/>
      <c r="H32" s="51"/>
      <c r="I32" s="51"/>
      <c r="J32" s="51"/>
      <c r="K32" s="51"/>
      <c r="L32" s="51"/>
      <c r="M32" s="51"/>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row>
    <row r="33" spans="1:42" ht="15.75" x14ac:dyDescent="0.25">
      <c r="A33" s="22"/>
      <c r="B33" s="22"/>
      <c r="C33" s="22"/>
      <c r="D33" s="22"/>
      <c r="E33" s="51"/>
      <c r="F33" s="51"/>
      <c r="G33" s="51"/>
      <c r="H33" s="51"/>
      <c r="I33" s="51"/>
      <c r="J33" s="51"/>
      <c r="K33" s="51"/>
      <c r="L33" s="51"/>
      <c r="M33" s="51"/>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row>
    <row r="34" spans="1:42" ht="15.75" x14ac:dyDescent="0.25">
      <c r="A34" s="22"/>
      <c r="B34" s="22"/>
      <c r="C34" s="22"/>
      <c r="D34" s="22"/>
      <c r="E34" s="51"/>
      <c r="F34" s="51"/>
      <c r="G34" s="51"/>
      <c r="H34" s="51"/>
      <c r="I34" s="51"/>
      <c r="J34" s="51"/>
      <c r="K34" s="51"/>
      <c r="L34" s="51"/>
      <c r="M34" s="51"/>
      <c r="N34" s="22"/>
      <c r="O34" s="22"/>
      <c r="P34" s="22"/>
      <c r="Q34" s="22"/>
      <c r="R34" s="22"/>
      <c r="S34" s="22"/>
      <c r="T34" s="22"/>
      <c r="U34" s="22"/>
      <c r="V34" s="22"/>
      <c r="W34" s="22"/>
      <c r="X34" s="22"/>
      <c r="Y34" s="22"/>
      <c r="Z34" s="22"/>
      <c r="AA34" s="22"/>
      <c r="AB34" s="22"/>
    </row>
    <row r="35" spans="1:42" ht="15.75" x14ac:dyDescent="0.25">
      <c r="A35" s="22"/>
      <c r="B35" s="22"/>
      <c r="C35" s="22"/>
      <c r="D35" s="22"/>
      <c r="E35" s="51"/>
      <c r="F35" s="51"/>
      <c r="G35" s="51"/>
      <c r="H35" s="51"/>
      <c r="I35" s="51"/>
      <c r="J35" s="51"/>
      <c r="K35" s="51"/>
      <c r="L35" s="51"/>
      <c r="M35" s="51"/>
      <c r="N35" s="22"/>
      <c r="O35" s="22"/>
      <c r="P35" s="22"/>
      <c r="Q35" s="22"/>
      <c r="R35" s="22"/>
      <c r="S35" s="22"/>
      <c r="T35" s="22"/>
      <c r="U35" s="22"/>
      <c r="V35" s="22"/>
      <c r="W35" s="22"/>
      <c r="X35" s="22"/>
      <c r="Y35" s="22"/>
      <c r="Z35" s="22"/>
      <c r="AA35" s="22"/>
      <c r="AB35" s="22"/>
    </row>
    <row r="36" spans="1:42" ht="15.75" x14ac:dyDescent="0.25">
      <c r="A36" s="22"/>
      <c r="B36" s="22"/>
      <c r="C36" s="22"/>
      <c r="D36" s="22"/>
      <c r="E36" s="52"/>
      <c r="F36" s="52"/>
      <c r="G36" s="52"/>
      <c r="H36" s="52"/>
      <c r="I36" s="52"/>
      <c r="J36" s="52"/>
      <c r="K36" s="52"/>
      <c r="L36" s="52"/>
      <c r="M36" s="52"/>
      <c r="N36" s="22"/>
      <c r="O36" s="22"/>
      <c r="P36" s="22"/>
      <c r="Q36" s="22"/>
      <c r="R36" s="22"/>
      <c r="S36" s="22"/>
      <c r="T36" s="22"/>
      <c r="U36" s="22"/>
      <c r="V36" s="22"/>
      <c r="W36" s="22"/>
      <c r="X36" s="22"/>
      <c r="Y36" s="22"/>
      <c r="Z36" s="22"/>
      <c r="AA36" s="22"/>
      <c r="AB36" s="22"/>
    </row>
    <row r="37" spans="1:42"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1:42"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42"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42"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42" x14ac:dyDescent="0.25">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22"/>
      <c r="AA41" s="22"/>
      <c r="AB41" s="22"/>
    </row>
    <row r="42" spans="1:42" x14ac:dyDescent="0.2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22"/>
      <c r="AA42" s="22"/>
      <c r="AB42" s="22"/>
    </row>
    <row r="43" spans="1:42" x14ac:dyDescent="0.25">
      <c r="A43" s="84"/>
      <c r="B43" s="84"/>
      <c r="C43" s="84"/>
      <c r="D43" s="84"/>
      <c r="E43" s="84"/>
      <c r="F43" s="84"/>
      <c r="G43" s="84"/>
      <c r="H43" s="84"/>
      <c r="I43" s="84"/>
      <c r="J43" s="84"/>
      <c r="K43" s="84"/>
      <c r="L43" s="84"/>
      <c r="M43" s="84"/>
      <c r="N43" s="84"/>
      <c r="O43" s="84"/>
      <c r="P43" s="84"/>
      <c r="Q43" s="84"/>
      <c r="R43" s="84"/>
      <c r="S43" s="84"/>
      <c r="T43" s="84"/>
      <c r="U43" s="84"/>
      <c r="V43" s="84"/>
      <c r="W43" s="84"/>
      <c r="X43" s="84"/>
      <c r="Y43" s="84"/>
    </row>
    <row r="44" spans="1:42" x14ac:dyDescent="0.25">
      <c r="A44" s="84"/>
      <c r="B44" s="84"/>
      <c r="C44" s="84"/>
      <c r="D44" s="84"/>
      <c r="E44" s="84"/>
      <c r="F44" s="84"/>
      <c r="G44" s="84"/>
      <c r="H44" s="84"/>
      <c r="I44" s="84"/>
      <c r="J44" s="84"/>
      <c r="K44" s="84"/>
      <c r="L44" s="84"/>
      <c r="M44" s="84"/>
      <c r="N44" s="84"/>
      <c r="O44" s="84"/>
      <c r="P44" s="84"/>
      <c r="Q44" s="84"/>
      <c r="R44" s="84"/>
      <c r="S44" s="84"/>
      <c r="T44" s="84"/>
      <c r="U44" s="84"/>
      <c r="V44" s="84"/>
      <c r="W44" s="84"/>
      <c r="X44" s="84"/>
      <c r="Y44" s="84"/>
    </row>
    <row r="45" spans="1:42"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c r="Y45" s="84"/>
    </row>
    <row r="46" spans="1:42"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c r="Y46" s="84"/>
    </row>
    <row r="47" spans="1:42" x14ac:dyDescent="0.25">
      <c r="A47" s="84"/>
      <c r="B47" s="84"/>
      <c r="C47" s="84"/>
      <c r="D47" s="84"/>
      <c r="E47" s="84"/>
      <c r="F47" s="84"/>
      <c r="G47" s="84"/>
      <c r="H47" s="84"/>
      <c r="I47" s="84"/>
      <c r="J47" s="84"/>
      <c r="K47" s="84"/>
      <c r="L47" s="84"/>
      <c r="M47" s="84"/>
      <c r="N47" s="84"/>
      <c r="O47" s="84"/>
      <c r="P47" s="84"/>
      <c r="Q47" s="84"/>
      <c r="R47" s="84"/>
      <c r="S47" s="84"/>
      <c r="T47" s="84"/>
      <c r="U47" s="84"/>
      <c r="V47" s="84"/>
      <c r="W47" s="84"/>
      <c r="X47" s="84"/>
      <c r="Y47" s="84"/>
    </row>
    <row r="48" spans="1:42"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c r="Y48" s="84"/>
    </row>
    <row r="49" spans="1:25"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c r="Y49" s="84"/>
    </row>
    <row r="50" spans="1:25"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c r="Y50" s="84"/>
    </row>
    <row r="51" spans="1:25"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c r="Y51" s="84"/>
    </row>
    <row r="52" spans="1:25"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row>
    <row r="53" spans="1:25"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c r="Y53" s="84"/>
    </row>
    <row r="54" spans="1:25"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c r="Y54" s="84"/>
    </row>
    <row r="55" spans="1:25"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row>
    <row r="56" spans="1:25"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row>
    <row r="57" spans="1:25"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row>
    <row r="58" spans="1:25"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row>
  </sheetData>
  <sheetProtection password="CF7A" sheet="1" objects="1" scenarios="1" selectLockedCells="1"/>
  <mergeCells count="3">
    <mergeCell ref="A1:E2"/>
    <mergeCell ref="A3:E3"/>
    <mergeCell ref="C29:F30"/>
  </mergeCells>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19457" r:id="rId5" name="Drop Down 1">
              <controlPr defaultSize="0" autoLine="0" autoPict="0">
                <anchor moveWithCells="1">
                  <from>
                    <xdr:col>1</xdr:col>
                    <xdr:colOff>0</xdr:colOff>
                    <xdr:row>22</xdr:row>
                    <xdr:rowOff>161925</xdr:rowOff>
                  </from>
                  <to>
                    <xdr:col>1</xdr:col>
                    <xdr:colOff>1676400</xdr:colOff>
                    <xdr:row>23</xdr:row>
                    <xdr:rowOff>171450</xdr:rowOff>
                  </to>
                </anchor>
              </controlPr>
            </control>
          </mc:Choice>
        </mc:AlternateContent>
        <mc:AlternateContent xmlns:mc="http://schemas.openxmlformats.org/markup-compatibility/2006">
          <mc:Choice Requires="x14">
            <control shapeId="19458" r:id="rId6" name="Drop Down 2">
              <controlPr locked="0"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19459" r:id="rId7" name="Drop Down 3">
              <controlPr locked="0"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19460" r:id="rId8" name="Drop Down 4">
              <controlPr locked="0"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19461" r:id="rId9" name="Drop Down 5">
              <controlPr locked="0" defaultSize="0" autoLine="0" autoPict="0">
                <anchor moveWithCells="1">
                  <from>
                    <xdr:col>2</xdr:col>
                    <xdr:colOff>0</xdr:colOff>
                    <xdr:row>14</xdr:row>
                    <xdr:rowOff>180975</xdr:rowOff>
                  </from>
                  <to>
                    <xdr:col>3</xdr:col>
                    <xdr:colOff>533400</xdr:colOff>
                    <xdr:row>16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3BAE-0EE1-4E09-8214-BE252620A29B}">
  <sheetPr>
    <tabColor indexed="54"/>
    <pageSetUpPr autoPageBreaks="0" fitToPage="1"/>
  </sheetPr>
  <dimension ref="A1:AP58"/>
  <sheetViews>
    <sheetView showGridLines="0" zoomScale="110" zoomScaleNormal="110" workbookViewId="0">
      <selection activeCell="C20" sqref="C20"/>
    </sheetView>
  </sheetViews>
  <sheetFormatPr defaultColWidth="9.140625" defaultRowHeight="21.75" x14ac:dyDescent="0.25"/>
  <cols>
    <col min="1" max="1" width="9.140625" style="143"/>
    <col min="2" max="2" width="25.28515625" style="143" customWidth="1"/>
    <col min="3" max="3" width="22.5703125" style="143" customWidth="1"/>
    <col min="4" max="4" width="21" style="143" customWidth="1"/>
    <col min="5" max="5" width="17.5703125" style="143" customWidth="1"/>
    <col min="6" max="7" width="16.85546875" style="143" customWidth="1"/>
    <col min="8" max="8" width="10.7109375" style="143" customWidth="1"/>
    <col min="9" max="9" width="13.7109375" style="143" hidden="1" customWidth="1"/>
    <col min="10" max="10" width="33.7109375" style="143" hidden="1" customWidth="1"/>
    <col min="11" max="11" width="10.7109375" style="143" hidden="1" customWidth="1"/>
    <col min="12" max="12" width="13.7109375" style="143" hidden="1" customWidth="1"/>
    <col min="13" max="13" width="33.7109375" style="143" hidden="1" customWidth="1"/>
    <col min="14" max="14" width="10.7109375" style="143" hidden="1" customWidth="1"/>
    <col min="15" max="15" width="9.140625" style="143" hidden="1" customWidth="1"/>
    <col min="16" max="16" width="7.42578125" style="143" customWidth="1"/>
    <col min="17" max="17" width="12.85546875" style="143" customWidth="1"/>
    <col min="18" max="18" width="29.42578125" style="143" customWidth="1"/>
    <col min="19" max="19" width="6.140625" style="143" customWidth="1"/>
    <col min="20" max="20" width="13.7109375" style="143" customWidth="1"/>
    <col min="21" max="21" width="33.7109375" style="143" customWidth="1"/>
    <col min="22" max="22" width="7.5703125" style="143" customWidth="1"/>
    <col min="23" max="24" width="9.140625" style="143"/>
    <col min="25" max="25" width="5.7109375" style="143" customWidth="1"/>
    <col min="26" max="16384" width="9.140625" style="143"/>
  </cols>
  <sheetData>
    <row r="1" spans="1:42" x14ac:dyDescent="0.25">
      <c r="A1" s="237"/>
      <c r="B1" s="238"/>
      <c r="C1" s="238"/>
      <c r="D1" s="238"/>
      <c r="E1" s="238"/>
      <c r="F1" s="95"/>
      <c r="G1" s="95"/>
      <c r="H1" s="95"/>
      <c r="I1" s="95"/>
      <c r="J1" s="95"/>
      <c r="K1" s="95"/>
      <c r="L1" s="95"/>
      <c r="M1" s="95"/>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row>
    <row r="2" spans="1:42" x14ac:dyDescent="0.25">
      <c r="A2" s="238"/>
      <c r="B2" s="238"/>
      <c r="C2" s="238"/>
      <c r="D2" s="238"/>
      <c r="E2" s="238"/>
      <c r="F2" s="95"/>
      <c r="G2" s="95"/>
      <c r="H2" s="95"/>
      <c r="I2" s="95"/>
      <c r="J2" s="95"/>
      <c r="K2" s="95"/>
      <c r="L2" s="95"/>
      <c r="M2" s="95"/>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row>
    <row r="3" spans="1:42" ht="13.5" customHeight="1" x14ac:dyDescent="0.25">
      <c r="A3" s="239"/>
      <c r="B3" s="239"/>
      <c r="C3" s="239"/>
      <c r="D3" s="239"/>
      <c r="E3" s="239"/>
      <c r="F3" s="97"/>
      <c r="G3" s="97"/>
      <c r="H3" s="97"/>
      <c r="I3" s="97"/>
      <c r="J3" s="97"/>
      <c r="K3" s="97"/>
      <c r="L3" s="97"/>
      <c r="M3" s="97"/>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row>
    <row r="4" spans="1:42" ht="15" customHeight="1" x14ac:dyDescent="0.25">
      <c r="A4" s="97"/>
      <c r="B4" s="97"/>
      <c r="C4" s="97"/>
      <c r="D4" s="97"/>
      <c r="E4" s="97"/>
      <c r="F4" s="97"/>
      <c r="G4" s="97"/>
      <c r="H4" s="97"/>
      <c r="I4" s="97"/>
      <c r="J4" s="97"/>
      <c r="K4" s="97"/>
      <c r="L4" s="97"/>
      <c r="M4" s="97"/>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row>
    <row r="5" spans="1:42" ht="15" customHeight="1" x14ac:dyDescent="0.25">
      <c r="B5" s="186"/>
      <c r="C5" s="187"/>
      <c r="D5" s="188"/>
      <c r="E5" s="186"/>
      <c r="F5" s="186"/>
      <c r="G5" s="186"/>
      <c r="H5" s="186"/>
      <c r="I5" s="186"/>
      <c r="J5" s="186"/>
      <c r="K5" s="186"/>
      <c r="L5" s="186"/>
      <c r="M5" s="186"/>
      <c r="N5" s="189"/>
      <c r="O5" s="189"/>
      <c r="P5" s="190"/>
      <c r="Q5" s="190"/>
      <c r="R5" s="192"/>
      <c r="S5" s="192"/>
      <c r="T5" s="192"/>
      <c r="U5" s="148"/>
      <c r="V5" s="148"/>
      <c r="W5" s="148"/>
      <c r="X5" s="148"/>
      <c r="Y5" s="148"/>
      <c r="Z5" s="148"/>
      <c r="AA5" s="148"/>
      <c r="AB5" s="148"/>
      <c r="AC5" s="148"/>
      <c r="AD5" s="148"/>
      <c r="AE5" s="148"/>
      <c r="AF5" s="148"/>
      <c r="AG5" s="148"/>
      <c r="AH5" s="148"/>
      <c r="AI5" s="148"/>
      <c r="AJ5" s="148"/>
      <c r="AK5" s="148"/>
      <c r="AL5" s="148"/>
      <c r="AM5" s="148"/>
      <c r="AN5" s="148"/>
      <c r="AO5" s="148"/>
      <c r="AP5" s="148"/>
    </row>
    <row r="6" spans="1:42" ht="15" customHeight="1" x14ac:dyDescent="0.25">
      <c r="B6" s="149"/>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row>
    <row r="7" spans="1:42" ht="15" customHeight="1" thickBot="1" x14ac:dyDescent="0.3">
      <c r="B7" s="139" t="s">
        <v>117</v>
      </c>
      <c r="C7" s="139" t="s">
        <v>188</v>
      </c>
      <c r="D7" s="139" t="s">
        <v>189</v>
      </c>
      <c r="F7"/>
      <c r="J7" s="193" t="s">
        <v>6</v>
      </c>
      <c r="K7" s="194"/>
      <c r="M7" s="195" t="s">
        <v>25</v>
      </c>
      <c r="N7" s="195"/>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row>
    <row r="8" spans="1:42" ht="15" customHeight="1" x14ac:dyDescent="0.25">
      <c r="B8" s="149"/>
      <c r="E8"/>
      <c r="I8" s="143" t="s">
        <v>4</v>
      </c>
      <c r="J8" s="196" t="s">
        <v>120</v>
      </c>
      <c r="K8" s="197" t="s">
        <v>3</v>
      </c>
      <c r="L8" s="143" t="s">
        <v>7</v>
      </c>
      <c r="M8" s="196" t="s">
        <v>170</v>
      </c>
      <c r="N8" s="197"/>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row>
    <row r="9" spans="1:42" ht="15" customHeight="1" thickBot="1" x14ac:dyDescent="0.3">
      <c r="B9" s="149"/>
      <c r="I9" s="198">
        <v>1</v>
      </c>
      <c r="J9" s="199" t="str">
        <f>VLOOKUP(I9,'Back-End'!$A$119:$C$138,2,FALSE)</f>
        <v>Click to select width…</v>
      </c>
      <c r="K9" s="200">
        <f>VLOOKUP(I9,'Back-End'!$A$119:$C$138,3,FALSE)</f>
        <v>0</v>
      </c>
      <c r="L9" s="146">
        <f>I9+K9</f>
        <v>1</v>
      </c>
      <c r="M9" s="201">
        <f>VLOOKUP($L9,'Back-End'!$H$119:$I$138,2,FALSE)</f>
        <v>0</v>
      </c>
      <c r="N9" s="202"/>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row>
    <row r="10" spans="1:42" ht="15" customHeight="1" thickBot="1" x14ac:dyDescent="0.3">
      <c r="B10" s="149"/>
      <c r="J10" s="193" t="s">
        <v>6</v>
      </c>
      <c r="K10" s="194"/>
      <c r="M10" s="195" t="s">
        <v>25</v>
      </c>
      <c r="N10" s="195"/>
      <c r="P10" s="148"/>
      <c r="Q10" s="148"/>
      <c r="R10" s="203"/>
      <c r="S10" s="204"/>
      <c r="T10" s="148"/>
      <c r="U10" s="203"/>
      <c r="V10" s="203"/>
      <c r="W10" s="148"/>
      <c r="X10" s="148"/>
      <c r="Y10" s="148"/>
      <c r="Z10" s="148"/>
      <c r="AA10" s="148"/>
      <c r="AB10" s="148"/>
      <c r="AC10" s="148"/>
      <c r="AD10" s="148"/>
      <c r="AE10" s="148"/>
      <c r="AF10" s="148"/>
      <c r="AG10" s="148"/>
      <c r="AH10" s="148"/>
      <c r="AI10" s="148"/>
      <c r="AJ10" s="148"/>
      <c r="AK10" s="148"/>
      <c r="AL10" s="148"/>
      <c r="AM10" s="148"/>
      <c r="AN10" s="148"/>
      <c r="AO10" s="148"/>
      <c r="AP10" s="148"/>
    </row>
    <row r="11" spans="1:42" ht="15" customHeight="1" x14ac:dyDescent="0.25">
      <c r="B11" s="149"/>
      <c r="I11" s="143" t="s">
        <v>4</v>
      </c>
      <c r="J11" s="196" t="s">
        <v>148</v>
      </c>
      <c r="K11" s="197" t="s">
        <v>3</v>
      </c>
      <c r="L11" s="143" t="s">
        <v>7</v>
      </c>
      <c r="M11" s="196" t="s">
        <v>170</v>
      </c>
      <c r="N11" s="197" t="s">
        <v>171</v>
      </c>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row>
    <row r="12" spans="1:42" s="164" customFormat="1" ht="15" customHeight="1" thickBot="1" x14ac:dyDescent="0.3">
      <c r="I12" s="198">
        <v>3</v>
      </c>
      <c r="J12" s="199" t="str">
        <f>VLOOKUP(I12,'Back-End'!$A$143:$C$163,2,FALSE)</f>
        <v>A0   (841.0 x 1189.0)</v>
      </c>
      <c r="K12" s="200">
        <f>VLOOKUP(I12,'Back-End'!$A$143:$C$1166,3,FALSE)</f>
        <v>0</v>
      </c>
      <c r="L12" s="146">
        <f>I12+K12</f>
        <v>3</v>
      </c>
      <c r="M12" s="201">
        <f>VLOOKUP($L12,'Back-End'!$H$144:$I$164,2,FALSE)</f>
        <v>841</v>
      </c>
      <c r="N12" s="201">
        <f>VLOOKUP($L12,'Back-End'!$J$144:$K$164,2,FALSE)</f>
        <v>1189</v>
      </c>
      <c r="P12" s="165"/>
      <c r="Q12" s="169"/>
      <c r="R12" s="169"/>
      <c r="S12" s="169"/>
      <c r="T12" s="169"/>
      <c r="U12" s="205"/>
      <c r="V12" s="205"/>
      <c r="W12" s="165"/>
      <c r="X12" s="165"/>
      <c r="Y12" s="165"/>
      <c r="Z12" s="165"/>
      <c r="AA12" s="165"/>
      <c r="AB12" s="165"/>
      <c r="AC12" s="165"/>
      <c r="AD12" s="165"/>
      <c r="AE12" s="165"/>
      <c r="AF12" s="165"/>
      <c r="AG12" s="165"/>
      <c r="AH12" s="165"/>
      <c r="AI12" s="165"/>
      <c r="AJ12" s="165"/>
      <c r="AK12" s="165"/>
      <c r="AL12" s="165"/>
      <c r="AM12" s="165"/>
      <c r="AN12" s="165"/>
      <c r="AO12" s="165"/>
      <c r="AP12" s="165"/>
    </row>
    <row r="13" spans="1:42" ht="15" customHeight="1" thickBot="1" x14ac:dyDescent="0.3">
      <c r="B13" s="147" t="s">
        <v>72</v>
      </c>
      <c r="C13" s="147" t="s">
        <v>73</v>
      </c>
      <c r="D13" s="147" t="s">
        <v>190</v>
      </c>
      <c r="J13" s="193" t="s">
        <v>6</v>
      </c>
      <c r="K13" s="194"/>
      <c r="M13" s="195" t="s">
        <v>25</v>
      </c>
      <c r="N13" s="195"/>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row>
    <row r="14" spans="1:42" ht="15" customHeight="1" x14ac:dyDescent="0.25">
      <c r="B14" s="168"/>
      <c r="I14" s="143" t="s">
        <v>4</v>
      </c>
      <c r="J14" s="196" t="s">
        <v>147</v>
      </c>
      <c r="K14" s="197" t="s">
        <v>3</v>
      </c>
      <c r="L14" s="143" t="s">
        <v>7</v>
      </c>
      <c r="M14" s="196" t="s">
        <v>172</v>
      </c>
      <c r="N14" s="197"/>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row>
    <row r="15" spans="1:42" ht="15" customHeight="1" thickBot="1" x14ac:dyDescent="0.3">
      <c r="B15" s="130" t="s">
        <v>24</v>
      </c>
      <c r="C15" s="145"/>
      <c r="I15" s="198">
        <v>1</v>
      </c>
      <c r="J15" s="199" t="str">
        <f>VLOOKUP(I15,'Back-End'!$D$119:$F$127,2,FALSE)</f>
        <v>Click to select length…</v>
      </c>
      <c r="K15" s="200">
        <f>VLOOKUP(I15,'Back-End'!$D$119:$F$127,3,FALSE)</f>
        <v>1</v>
      </c>
      <c r="L15" s="146">
        <f>I15+K15</f>
        <v>2</v>
      </c>
      <c r="M15" s="201" t="e">
        <f>VLOOKUP($L15,'Back-End'!$J$120:$K$127,2,FALSE)</f>
        <v>#N/A</v>
      </c>
      <c r="N15" s="202"/>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row>
    <row r="16" spans="1:42" ht="15" customHeight="1" x14ac:dyDescent="0.25">
      <c r="B16" s="130" t="s">
        <v>17</v>
      </c>
      <c r="C16" s="145"/>
      <c r="D16" s="144"/>
      <c r="E16" s="144"/>
      <c r="F16" s="191"/>
      <c r="J16" s="144"/>
      <c r="K16" s="144"/>
      <c r="L16" s="144"/>
      <c r="M16" s="144"/>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row>
    <row r="17" spans="1:42" s="146" customFormat="1" ht="15" customHeight="1" thickBot="1" x14ac:dyDescent="0.3">
      <c r="A17" s="144"/>
      <c r="B17" s="131" t="s">
        <v>29</v>
      </c>
      <c r="C17" s="131"/>
      <c r="D17" s="144"/>
      <c r="E17" s="144"/>
      <c r="F17" s="144"/>
      <c r="I17" s="143"/>
      <c r="J17" s="193" t="s">
        <v>6</v>
      </c>
      <c r="K17" s="194"/>
      <c r="L17" s="143"/>
      <c r="M17" s="143"/>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row>
    <row r="18" spans="1:42" ht="15" customHeight="1" x14ac:dyDescent="0.25">
      <c r="B18" s="130" t="s">
        <v>111</v>
      </c>
      <c r="C18" s="135">
        <v>0</v>
      </c>
      <c r="D18" s="144"/>
      <c r="E18" s="131" t="s">
        <v>26</v>
      </c>
      <c r="F18" s="136"/>
      <c r="G18" s="131"/>
      <c r="I18" s="143" t="s">
        <v>4</v>
      </c>
      <c r="J18" s="196" t="s">
        <v>5</v>
      </c>
      <c r="K18" s="197" t="s">
        <v>3</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row>
    <row r="19" spans="1:42" ht="15" customHeight="1" thickBot="1" x14ac:dyDescent="0.3">
      <c r="B19" s="130" t="s">
        <v>112</v>
      </c>
      <c r="C19" s="135">
        <v>0</v>
      </c>
      <c r="D19" s="144"/>
      <c r="E19" s="137"/>
      <c r="F19" s="132" t="s">
        <v>207</v>
      </c>
      <c r="G19" s="132"/>
      <c r="I19" s="206">
        <v>3</v>
      </c>
      <c r="J19" s="207" t="str">
        <f>VLOOKUP(I19,'Back-End'!$A$85:$C$87,2,FALSE)</f>
        <v>Bicycle Chart</v>
      </c>
      <c r="K19" s="208">
        <f>VLOOKUP(I19,'Back-End'!$A$85:$C$87,3,FALSE)</f>
        <v>30</v>
      </c>
      <c r="L19" s="146"/>
      <c r="M19" s="146"/>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row>
    <row r="20" spans="1:42" ht="15" customHeight="1" thickBot="1" x14ac:dyDescent="0.3">
      <c r="B20" s="130" t="s">
        <v>18</v>
      </c>
      <c r="C20" s="209">
        <v>0</v>
      </c>
      <c r="D20" s="144"/>
      <c r="E20" s="210" t="s">
        <v>21</v>
      </c>
      <c r="F20" s="211">
        <f>IFERROR((K26*((M12/1000*N12/1000))*(C22/55)),"-")</f>
        <v>3.2638335359999999</v>
      </c>
      <c r="G20" s="219"/>
      <c r="J20" s="193" t="s">
        <v>6</v>
      </c>
      <c r="K20" s="193"/>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row>
    <row r="21" spans="1:42" s="146" customFormat="1" ht="15" customHeight="1" x14ac:dyDescent="0.25">
      <c r="B21" s="131" t="s">
        <v>28</v>
      </c>
      <c r="C21" s="138"/>
      <c r="D21" s="144"/>
      <c r="E21" s="210" t="s">
        <v>22</v>
      </c>
      <c r="F21" s="211" t="str">
        <f>IFERROR(((M12/1000*N12/1000))*(F24),"-")</f>
        <v>-</v>
      </c>
      <c r="G21" s="219"/>
      <c r="I21" s="143" t="s">
        <v>4</v>
      </c>
      <c r="J21" s="196" t="s">
        <v>5</v>
      </c>
      <c r="K21" s="197" t="s">
        <v>3</v>
      </c>
      <c r="L21" s="143"/>
      <c r="M21" s="143"/>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row>
    <row r="22" spans="1:42" ht="15" customHeight="1" thickBot="1" x14ac:dyDescent="0.3">
      <c r="B22" s="130" t="s">
        <v>208</v>
      </c>
      <c r="C22" s="209">
        <v>55</v>
      </c>
      <c r="D22" s="144"/>
      <c r="E22" s="215" t="s">
        <v>23</v>
      </c>
      <c r="F22" s="216" t="str">
        <f>IFERROR(F20+F21,"-")</f>
        <v>-</v>
      </c>
      <c r="G22" s="220"/>
      <c r="I22" s="206">
        <v>6</v>
      </c>
      <c r="J22" s="207" t="str">
        <f>VLOOKUP($I22,'Back-End'!$D$85:$F$90,2,FALSE)</f>
        <v>Glossy Photo 240gsm (High)</v>
      </c>
      <c r="K22" s="208">
        <f>VLOOKUP($I22,'Back-End'!$D$85:$F$90,3,FALSE)</f>
        <v>6</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row>
    <row r="23" spans="1:42" ht="15" customHeight="1" x14ac:dyDescent="0.25">
      <c r="B23" s="222"/>
      <c r="C23" s="223"/>
      <c r="D23" s="144"/>
      <c r="E23" s="210" t="s">
        <v>113</v>
      </c>
      <c r="F23" s="212">
        <f>IFERROR(F20/((M12/1000*N12/1000)),"-")</f>
        <v>3.2639999999999998</v>
      </c>
      <c r="G23" s="219"/>
      <c r="L23" s="146"/>
      <c r="M23" s="146"/>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row>
    <row r="24" spans="1:42" s="146" customFormat="1" ht="15" customHeight="1" thickBot="1" x14ac:dyDescent="0.3">
      <c r="B24" s="131" t="s">
        <v>200</v>
      </c>
      <c r="C24" s="132"/>
      <c r="D24" s="139"/>
      <c r="E24" s="213" t="s">
        <v>114</v>
      </c>
      <c r="F24" s="211" t="str">
        <f>IFERROR(C20/((M15*M9/1000)),"-")</f>
        <v>-</v>
      </c>
      <c r="G24" s="219"/>
      <c r="H24" s="144"/>
      <c r="I24" s="143"/>
      <c r="J24" s="195" t="s">
        <v>25</v>
      </c>
      <c r="K24" s="195"/>
      <c r="L24" s="143"/>
      <c r="M24" s="143"/>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row>
    <row r="25" spans="1:42" ht="15" customHeight="1" x14ac:dyDescent="0.25">
      <c r="D25" s="144"/>
      <c r="E25" s="215" t="s">
        <v>115</v>
      </c>
      <c r="F25" s="217" t="str">
        <f>IFERROR(F23+F24,"-")</f>
        <v>-</v>
      </c>
      <c r="G25" s="220"/>
      <c r="H25" s="144"/>
      <c r="I25" s="143" t="s">
        <v>7</v>
      </c>
      <c r="J25" s="196" t="s">
        <v>13</v>
      </c>
      <c r="K25" s="197" t="s">
        <v>14</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row>
    <row r="26" spans="1:42" ht="15" customHeight="1" thickBot="1" x14ac:dyDescent="0.3">
      <c r="B26" s="140" t="s">
        <v>180</v>
      </c>
      <c r="C26" s="141" t="s">
        <v>181</v>
      </c>
      <c r="D26" s="144"/>
      <c r="E26" s="210" t="s">
        <v>199</v>
      </c>
      <c r="F26" s="214">
        <f>IFERROR((130*5)/(K26)/(M12/1000*N12/1000),"-")</f>
        <v>199.15231363074028</v>
      </c>
      <c r="G26" s="221"/>
      <c r="H26" s="144"/>
      <c r="I26" s="206">
        <f>K19+K22</f>
        <v>36</v>
      </c>
      <c r="J26" s="207" t="str">
        <f>VLOOKUP($I26,'Back-End'!$H$85:$K$100,2,FALSE)</f>
        <v>Bicycle Chart- Glossy (High)</v>
      </c>
      <c r="K26" s="208">
        <f>VLOOKUP($I26,'Back-End'!$H$85:$K$100,3,FALSE)</f>
        <v>3.2639999999999998</v>
      </c>
      <c r="L26" s="146"/>
      <c r="M26" s="146"/>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row>
    <row r="27" spans="1:42" ht="23.25" x14ac:dyDescent="0.25">
      <c r="B27" s="142">
        <f>IFERROR(M12,"-")</f>
        <v>841</v>
      </c>
      <c r="C27" s="142">
        <f>IFERROR(N12,"-")</f>
        <v>1189</v>
      </c>
      <c r="D27" s="144"/>
      <c r="E27" s="144"/>
      <c r="F27" s="144"/>
      <c r="G27" s="144"/>
      <c r="H27" s="144"/>
      <c r="I27" s="144"/>
      <c r="J27" s="144"/>
      <c r="K27" s="144"/>
      <c r="L27" s="144"/>
      <c r="M27" s="144"/>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row>
    <row r="28" spans="1:42" ht="23.25" x14ac:dyDescent="0.25">
      <c r="E28" s="144"/>
      <c r="F28" s="144"/>
      <c r="G28" s="144"/>
      <c r="H28" s="144"/>
      <c r="I28" s="144"/>
      <c r="J28" s="144"/>
      <c r="K28" s="144"/>
      <c r="L28" s="144"/>
      <c r="M28" s="144"/>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row>
    <row r="29" spans="1:42" ht="15.75" customHeight="1" x14ac:dyDescent="0.25">
      <c r="C29" s="235"/>
      <c r="D29" s="235"/>
      <c r="E29" s="235"/>
      <c r="F29" s="235"/>
      <c r="G29" s="145"/>
      <c r="H29" s="145"/>
      <c r="I29" s="145"/>
      <c r="J29" s="145"/>
      <c r="K29" s="145"/>
      <c r="L29" s="145"/>
      <c r="M29" s="145"/>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row>
    <row r="30" spans="1:42" ht="9.75" customHeight="1" x14ac:dyDescent="0.25">
      <c r="C30" s="235"/>
      <c r="D30" s="235"/>
      <c r="E30" s="235"/>
      <c r="F30" s="235"/>
      <c r="G30" s="173"/>
      <c r="H30" s="173"/>
      <c r="I30" s="173"/>
      <c r="J30" s="173"/>
      <c r="K30" s="173"/>
      <c r="L30" s="173"/>
      <c r="M30" s="173"/>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row>
    <row r="31" spans="1:42" ht="23.25" x14ac:dyDescent="0.25">
      <c r="A31" s="148"/>
      <c r="B31" s="148"/>
      <c r="C31" s="148"/>
      <c r="D31" s="148"/>
      <c r="E31" s="172"/>
      <c r="F31" s="172"/>
      <c r="G31" s="172"/>
      <c r="H31" s="172"/>
      <c r="I31" s="172"/>
      <c r="J31" s="172"/>
      <c r="K31" s="172"/>
      <c r="L31" s="172"/>
      <c r="M31" s="172"/>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row>
    <row r="32" spans="1:42" ht="23.25" x14ac:dyDescent="0.25">
      <c r="A32" s="148"/>
      <c r="B32" s="148"/>
      <c r="C32" s="148"/>
      <c r="D32" s="148"/>
      <c r="E32" s="172"/>
      <c r="F32" s="172"/>
      <c r="G32" s="172"/>
      <c r="H32" s="172"/>
      <c r="I32" s="172"/>
      <c r="J32" s="172"/>
      <c r="K32" s="172"/>
      <c r="L32" s="172"/>
      <c r="M32" s="172"/>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row>
    <row r="33" spans="1:42" ht="23.25" x14ac:dyDescent="0.25">
      <c r="A33" s="148"/>
      <c r="B33" s="148"/>
      <c r="C33" s="148"/>
      <c r="D33" s="148"/>
      <c r="E33" s="172"/>
      <c r="F33" s="172"/>
      <c r="G33" s="172"/>
      <c r="H33" s="172"/>
      <c r="I33" s="172"/>
      <c r="J33" s="172"/>
      <c r="K33" s="172"/>
      <c r="L33" s="172"/>
      <c r="M33" s="172"/>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row>
    <row r="34" spans="1:42" ht="23.25" x14ac:dyDescent="0.25">
      <c r="A34" s="148"/>
      <c r="B34" s="148"/>
      <c r="C34" s="148"/>
      <c r="D34" s="148"/>
      <c r="E34" s="172"/>
      <c r="F34" s="172"/>
      <c r="G34" s="172"/>
      <c r="H34" s="172"/>
      <c r="I34" s="172"/>
      <c r="J34" s="172"/>
      <c r="K34" s="172"/>
      <c r="L34" s="172"/>
      <c r="M34" s="172"/>
      <c r="N34" s="148"/>
      <c r="O34" s="148"/>
      <c r="P34" s="148"/>
      <c r="Q34" s="148"/>
      <c r="R34" s="148"/>
      <c r="S34" s="148"/>
      <c r="T34" s="148"/>
      <c r="U34" s="148"/>
      <c r="V34" s="148"/>
      <c r="W34" s="148"/>
      <c r="X34" s="148"/>
      <c r="Y34" s="148"/>
      <c r="Z34" s="148"/>
      <c r="AA34" s="148"/>
      <c r="AB34" s="148"/>
    </row>
    <row r="35" spans="1:42" ht="23.25" x14ac:dyDescent="0.25">
      <c r="A35" s="148"/>
      <c r="B35" s="148"/>
      <c r="C35" s="148"/>
      <c r="D35" s="148"/>
      <c r="E35" s="172"/>
      <c r="F35" s="172"/>
      <c r="G35" s="172"/>
      <c r="H35" s="172"/>
      <c r="I35" s="172"/>
      <c r="J35" s="172"/>
      <c r="K35" s="172"/>
      <c r="L35" s="172"/>
      <c r="M35" s="172"/>
      <c r="N35" s="148"/>
      <c r="O35" s="148"/>
      <c r="P35" s="148"/>
      <c r="Q35" s="148"/>
      <c r="R35" s="148"/>
      <c r="S35" s="148"/>
      <c r="T35" s="148"/>
      <c r="U35" s="148"/>
      <c r="V35" s="148"/>
      <c r="W35" s="148"/>
      <c r="X35" s="148"/>
      <c r="Y35" s="148"/>
      <c r="Z35" s="148"/>
      <c r="AA35" s="148"/>
      <c r="AB35" s="148"/>
    </row>
    <row r="36" spans="1:42" ht="23.25" x14ac:dyDescent="0.25">
      <c r="A36" s="148"/>
      <c r="B36" s="148"/>
      <c r="C36" s="148"/>
      <c r="D36" s="148"/>
      <c r="E36" s="174"/>
      <c r="F36" s="174"/>
      <c r="G36" s="174"/>
      <c r="H36" s="174"/>
      <c r="I36" s="174"/>
      <c r="J36" s="174"/>
      <c r="K36" s="174"/>
      <c r="L36" s="174"/>
      <c r="M36" s="174"/>
      <c r="N36" s="148"/>
      <c r="O36" s="148"/>
      <c r="P36" s="148"/>
      <c r="Q36" s="148"/>
      <c r="R36" s="148"/>
      <c r="S36" s="148"/>
      <c r="T36" s="148"/>
      <c r="U36" s="148"/>
      <c r="V36" s="148"/>
      <c r="W36" s="148"/>
      <c r="X36" s="148"/>
      <c r="Y36" s="148"/>
      <c r="Z36" s="148"/>
      <c r="AA36" s="148"/>
      <c r="AB36" s="148"/>
    </row>
    <row r="37" spans="1:42" x14ac:dyDescent="0.25">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row>
    <row r="38" spans="1:42" x14ac:dyDescent="0.2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row>
    <row r="39" spans="1:42" x14ac:dyDescent="0.25">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row>
    <row r="40" spans="1:42" x14ac:dyDescent="0.25">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row>
    <row r="41" spans="1:42" x14ac:dyDescent="0.25">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row>
    <row r="42" spans="1:42" x14ac:dyDescent="0.2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48"/>
      <c r="AA42" s="148"/>
    </row>
    <row r="43" spans="1:42" x14ac:dyDescent="0.2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row>
    <row r="44" spans="1:42" x14ac:dyDescent="0.2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row>
    <row r="45" spans="1:42" x14ac:dyDescent="0.2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row>
    <row r="46" spans="1:42" x14ac:dyDescent="0.2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row>
    <row r="47" spans="1:42" x14ac:dyDescent="0.2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row>
    <row r="48" spans="1:42" x14ac:dyDescent="0.2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row>
    <row r="49" spans="1:25" x14ac:dyDescent="0.2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row>
    <row r="50" spans="1:25" x14ac:dyDescent="0.2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row>
    <row r="51" spans="1:25" x14ac:dyDescent="0.25">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row>
    <row r="52" spans="1:25" x14ac:dyDescent="0.25">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row>
    <row r="53" spans="1:25" x14ac:dyDescent="0.25">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row>
    <row r="54" spans="1:25" x14ac:dyDescent="0.25">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row>
    <row r="55" spans="1:25" x14ac:dyDescent="0.25">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row>
    <row r="56" spans="1:25" x14ac:dyDescent="0.25">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row>
    <row r="57" spans="1:25" x14ac:dyDescent="0.2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row>
    <row r="58" spans="1:25" x14ac:dyDescent="0.25">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row>
  </sheetData>
  <sheetProtection algorithmName="SHA-512" hashValue="V3l8qRpnvEHDkti+UF7jMSbd7Hf/EsgdjleLxv6RxYvA4Yw6cly0D8ZGZJqi3/dAfpO43mXNOJORnHP21tAXPA==" saltValue="M0pJvQuUyXcK3C06RTHQNA==" spinCount="100000" sheet="1" objects="1" selectLockedCells="1"/>
  <mergeCells count="3">
    <mergeCell ref="A1:E2"/>
    <mergeCell ref="A3:E3"/>
    <mergeCell ref="C29:F30"/>
  </mergeCells>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46081" r:id="rId5" name="Drop Down 1">
              <controlPr locked="0"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46082" r:id="rId6" name="Drop Down 2">
              <controlPr locked="0"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46083" r:id="rId7" name="Drop Down 3">
              <controlPr locked="0"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46084" r:id="rId8" name="Drop Down 4">
              <controlPr locked="0" defaultSize="0" autoLine="0" autoPict="0">
                <anchor moveWithCells="1">
                  <from>
                    <xdr:col>2</xdr:col>
                    <xdr:colOff>0</xdr:colOff>
                    <xdr:row>14</xdr:row>
                    <xdr:rowOff>180975</xdr:rowOff>
                  </from>
                  <to>
                    <xdr:col>3</xdr:col>
                    <xdr:colOff>533400</xdr:colOff>
                    <xdr:row>16</xdr:row>
                    <xdr:rowOff>0</xdr:rowOff>
                  </to>
                </anchor>
              </controlPr>
            </control>
          </mc:Choice>
        </mc:AlternateContent>
        <mc:AlternateContent xmlns:mc="http://schemas.openxmlformats.org/markup-compatibility/2006">
          <mc:Choice Requires="x14">
            <control shapeId="46085" r:id="rId9" name="Drop Down 5">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autoPageBreaks="0"/>
  </sheetPr>
  <dimension ref="A1:K166"/>
  <sheetViews>
    <sheetView topLeftCell="A74" workbookViewId="0">
      <selection activeCell="K101" sqref="H85:K101"/>
    </sheetView>
  </sheetViews>
  <sheetFormatPr defaultRowHeight="15" x14ac:dyDescent="0.25"/>
  <cols>
    <col min="1" max="1" width="20.7109375" bestFit="1" customWidth="1"/>
    <col min="2" max="2" width="22.5703125" bestFit="1" customWidth="1"/>
    <col min="4" max="4" width="12.85546875" bestFit="1" customWidth="1"/>
    <col min="5" max="5" width="27.42578125" customWidth="1"/>
    <col min="9" max="9" width="29.140625" customWidth="1"/>
    <col min="11" max="11" width="16.85546875" bestFit="1" customWidth="1"/>
    <col min="13" max="13" width="16.42578125" bestFit="1" customWidth="1"/>
    <col min="15" max="15" width="16.85546875" bestFit="1" customWidth="1"/>
  </cols>
  <sheetData>
    <row r="1" spans="1:11" x14ac:dyDescent="0.25">
      <c r="A1" s="3" t="s">
        <v>202</v>
      </c>
    </row>
    <row r="2" spans="1:11" x14ac:dyDescent="0.25">
      <c r="A2" t="s">
        <v>4</v>
      </c>
      <c r="B2" t="s">
        <v>1</v>
      </c>
      <c r="C2" t="s">
        <v>3</v>
      </c>
      <c r="D2" t="s">
        <v>4</v>
      </c>
      <c r="E2" t="s">
        <v>2</v>
      </c>
      <c r="F2" t="s">
        <v>3</v>
      </c>
      <c r="H2" t="s">
        <v>3</v>
      </c>
      <c r="I2" t="s">
        <v>9</v>
      </c>
      <c r="J2" t="s">
        <v>8</v>
      </c>
    </row>
    <row r="3" spans="1:11" x14ac:dyDescent="0.25">
      <c r="A3">
        <v>1</v>
      </c>
      <c r="B3" s="2" t="s">
        <v>81</v>
      </c>
      <c r="C3" s="2">
        <v>10</v>
      </c>
      <c r="D3" s="1">
        <v>1</v>
      </c>
      <c r="E3" s="1" t="s">
        <v>30</v>
      </c>
      <c r="F3">
        <v>1</v>
      </c>
      <c r="H3">
        <v>11</v>
      </c>
      <c r="I3" t="s">
        <v>82</v>
      </c>
      <c r="J3">
        <f>(K3)*10.76</f>
        <v>5.6812800000000001</v>
      </c>
      <c r="K3">
        <v>0.52800000000000002</v>
      </c>
    </row>
    <row r="4" spans="1:11" x14ac:dyDescent="0.25">
      <c r="A4">
        <v>2</v>
      </c>
      <c r="B4" s="2" t="s">
        <v>0</v>
      </c>
      <c r="C4" s="1">
        <v>20</v>
      </c>
      <c r="D4" s="1">
        <v>2</v>
      </c>
      <c r="E4" s="1" t="s">
        <v>31</v>
      </c>
      <c r="F4">
        <v>2</v>
      </c>
      <c r="H4">
        <v>12</v>
      </c>
      <c r="I4" t="s">
        <v>83</v>
      </c>
      <c r="J4">
        <f t="shared" ref="J4:J17" si="0">(K4)*10.76</f>
        <v>5.5865919999999996</v>
      </c>
      <c r="K4">
        <v>0.51919999999999999</v>
      </c>
    </row>
    <row r="5" spans="1:11" x14ac:dyDescent="0.25">
      <c r="A5">
        <v>3</v>
      </c>
      <c r="B5" s="2" t="s">
        <v>103</v>
      </c>
      <c r="C5" s="1">
        <v>30</v>
      </c>
      <c r="D5" s="1">
        <v>3</v>
      </c>
      <c r="E5" s="1" t="s">
        <v>32</v>
      </c>
      <c r="F5">
        <v>3</v>
      </c>
      <c r="H5">
        <v>13</v>
      </c>
      <c r="I5" t="s">
        <v>84</v>
      </c>
      <c r="J5">
        <f t="shared" si="0"/>
        <v>5.4919039999999999</v>
      </c>
      <c r="K5">
        <v>0.51039999999999996</v>
      </c>
    </row>
    <row r="6" spans="1:11" x14ac:dyDescent="0.25">
      <c r="C6" s="1"/>
      <c r="D6" s="1">
        <v>4</v>
      </c>
      <c r="E6" s="1" t="s">
        <v>33</v>
      </c>
      <c r="F6">
        <v>4</v>
      </c>
      <c r="H6">
        <v>14</v>
      </c>
      <c r="I6" t="s">
        <v>100</v>
      </c>
      <c r="J6">
        <f t="shared" si="0"/>
        <v>5.7759679999999989</v>
      </c>
      <c r="K6">
        <v>0.53679999999999994</v>
      </c>
    </row>
    <row r="7" spans="1:11" x14ac:dyDescent="0.25">
      <c r="C7" s="1"/>
      <c r="D7" s="1">
        <v>5</v>
      </c>
      <c r="E7" s="1" t="s">
        <v>34</v>
      </c>
      <c r="F7">
        <v>5</v>
      </c>
      <c r="H7">
        <v>15</v>
      </c>
      <c r="I7" t="s">
        <v>101</v>
      </c>
      <c r="J7">
        <f t="shared" si="0"/>
        <v>5.0184640000000007</v>
      </c>
      <c r="K7">
        <v>0.46640000000000004</v>
      </c>
    </row>
    <row r="8" spans="1:11" x14ac:dyDescent="0.25">
      <c r="H8">
        <v>21</v>
      </c>
      <c r="I8" t="s">
        <v>10</v>
      </c>
      <c r="J8">
        <f t="shared" si="0"/>
        <v>8.237855999999999</v>
      </c>
      <c r="K8">
        <v>0.76559999999999995</v>
      </c>
    </row>
    <row r="9" spans="1:11" x14ac:dyDescent="0.25">
      <c r="H9">
        <v>22</v>
      </c>
      <c r="I9" t="s">
        <v>11</v>
      </c>
      <c r="J9">
        <f t="shared" si="0"/>
        <v>9.7528639999999989</v>
      </c>
      <c r="K9">
        <v>0.90639999999999998</v>
      </c>
    </row>
    <row r="10" spans="1:11" x14ac:dyDescent="0.25">
      <c r="H10">
        <v>23</v>
      </c>
      <c r="I10" t="s">
        <v>12</v>
      </c>
      <c r="J10">
        <f t="shared" si="0"/>
        <v>10.036928000000001</v>
      </c>
      <c r="K10">
        <v>0.93280000000000007</v>
      </c>
    </row>
    <row r="11" spans="1:11" x14ac:dyDescent="0.25">
      <c r="H11">
        <v>24</v>
      </c>
      <c r="I11" t="s">
        <v>35</v>
      </c>
      <c r="J11">
        <f t="shared" si="0"/>
        <v>11.078495999999998</v>
      </c>
      <c r="K11">
        <v>1.0295999999999998</v>
      </c>
    </row>
    <row r="12" spans="1:11" x14ac:dyDescent="0.25">
      <c r="H12">
        <v>25</v>
      </c>
      <c r="I12" t="s">
        <v>36</v>
      </c>
      <c r="J12">
        <f t="shared" si="0"/>
        <v>8.4272320000000001</v>
      </c>
      <c r="K12">
        <v>0.78320000000000001</v>
      </c>
    </row>
    <row r="13" spans="1:11" x14ac:dyDescent="0.25">
      <c r="H13">
        <v>31</v>
      </c>
      <c r="I13" t="s">
        <v>105</v>
      </c>
      <c r="J13">
        <f t="shared" si="0"/>
        <v>15.528831999999998</v>
      </c>
      <c r="K13">
        <v>1.4431999999999998</v>
      </c>
    </row>
    <row r="14" spans="1:11" x14ac:dyDescent="0.25">
      <c r="H14">
        <v>32</v>
      </c>
      <c r="I14" t="s">
        <v>106</v>
      </c>
      <c r="J14">
        <f t="shared" si="0"/>
        <v>15.528831999999998</v>
      </c>
      <c r="K14">
        <v>1.4431999999999998</v>
      </c>
    </row>
    <row r="15" spans="1:11" x14ac:dyDescent="0.25">
      <c r="H15">
        <v>33</v>
      </c>
      <c r="I15" t="s">
        <v>107</v>
      </c>
      <c r="J15">
        <f t="shared" si="0"/>
        <v>13.351007999999998</v>
      </c>
      <c r="K15">
        <v>1.2407999999999999</v>
      </c>
    </row>
    <row r="16" spans="1:11" x14ac:dyDescent="0.25">
      <c r="H16">
        <v>34</v>
      </c>
      <c r="I16" t="s">
        <v>108</v>
      </c>
      <c r="J16">
        <f t="shared" si="0"/>
        <v>14.771328</v>
      </c>
      <c r="K16">
        <v>1.3728</v>
      </c>
    </row>
    <row r="17" spans="1:11" x14ac:dyDescent="0.25">
      <c r="H17">
        <v>35</v>
      </c>
      <c r="I17" t="s">
        <v>109</v>
      </c>
      <c r="J17">
        <f t="shared" si="0"/>
        <v>15.528831999999998</v>
      </c>
      <c r="K17">
        <v>1.4431999999999998</v>
      </c>
    </row>
    <row r="19" spans="1:11" x14ac:dyDescent="0.25">
      <c r="A19" s="3" t="s">
        <v>209</v>
      </c>
    </row>
    <row r="20" spans="1:11" x14ac:dyDescent="0.25">
      <c r="A20" t="s">
        <v>4</v>
      </c>
      <c r="B20" t="s">
        <v>1</v>
      </c>
      <c r="C20" t="s">
        <v>3</v>
      </c>
      <c r="D20" t="s">
        <v>4</v>
      </c>
      <c r="E20" t="s">
        <v>2</v>
      </c>
      <c r="F20" t="s">
        <v>3</v>
      </c>
      <c r="H20" t="s">
        <v>3</v>
      </c>
      <c r="I20" t="s">
        <v>9</v>
      </c>
      <c r="J20" t="s">
        <v>8</v>
      </c>
    </row>
    <row r="21" spans="1:11" x14ac:dyDescent="0.25">
      <c r="A21">
        <v>1</v>
      </c>
      <c r="B21" s="2" t="s">
        <v>81</v>
      </c>
      <c r="C21" s="1">
        <v>10</v>
      </c>
      <c r="D21" s="1">
        <v>1</v>
      </c>
      <c r="E21" s="1" t="s">
        <v>37</v>
      </c>
      <c r="F21">
        <v>1</v>
      </c>
      <c r="H21">
        <v>11</v>
      </c>
      <c r="I21" t="s">
        <v>85</v>
      </c>
    </row>
    <row r="22" spans="1:11" x14ac:dyDescent="0.25">
      <c r="A22">
        <v>2</v>
      </c>
      <c r="B22" s="2" t="s">
        <v>0</v>
      </c>
      <c r="C22" s="1">
        <v>20</v>
      </c>
      <c r="D22" s="1">
        <v>2</v>
      </c>
      <c r="E22" s="1" t="s">
        <v>31</v>
      </c>
      <c r="F22">
        <v>2</v>
      </c>
      <c r="H22">
        <v>12</v>
      </c>
      <c r="I22" t="s">
        <v>83</v>
      </c>
      <c r="J22">
        <v>3.3639999999999999</v>
      </c>
    </row>
    <row r="23" spans="1:11" x14ac:dyDescent="0.25">
      <c r="A23">
        <v>3</v>
      </c>
      <c r="B23" s="2" t="s">
        <v>103</v>
      </c>
      <c r="C23" s="1">
        <v>30</v>
      </c>
      <c r="D23" s="1">
        <v>3</v>
      </c>
      <c r="E23" s="1" t="s">
        <v>32</v>
      </c>
      <c r="F23">
        <v>3</v>
      </c>
      <c r="H23">
        <v>13</v>
      </c>
      <c r="I23" t="s">
        <v>84</v>
      </c>
      <c r="J23">
        <v>3.5640000000000001</v>
      </c>
    </row>
    <row r="24" spans="1:11" x14ac:dyDescent="0.25">
      <c r="C24" s="1"/>
      <c r="D24" s="1">
        <v>4</v>
      </c>
      <c r="E24" s="2" t="s">
        <v>210</v>
      </c>
      <c r="F24">
        <v>4</v>
      </c>
      <c r="H24">
        <v>14</v>
      </c>
      <c r="I24" t="s">
        <v>211</v>
      </c>
      <c r="J24">
        <v>2.6560000000000001</v>
      </c>
    </row>
    <row r="25" spans="1:11" x14ac:dyDescent="0.25">
      <c r="C25" s="1"/>
      <c r="D25" s="1">
        <v>5</v>
      </c>
      <c r="E25" s="1" t="s">
        <v>34</v>
      </c>
      <c r="F25">
        <v>5</v>
      </c>
      <c r="H25">
        <v>15</v>
      </c>
      <c r="I25" t="s">
        <v>96</v>
      </c>
    </row>
    <row r="26" spans="1:11" x14ac:dyDescent="0.25">
      <c r="H26">
        <v>21</v>
      </c>
      <c r="I26" t="s">
        <v>38</v>
      </c>
    </row>
    <row r="27" spans="1:11" x14ac:dyDescent="0.25">
      <c r="H27">
        <v>22</v>
      </c>
      <c r="I27" t="s">
        <v>11</v>
      </c>
      <c r="J27">
        <f>J22*2</f>
        <v>6.7279999999999998</v>
      </c>
    </row>
    <row r="28" spans="1:11" x14ac:dyDescent="0.25">
      <c r="H28">
        <v>23</v>
      </c>
      <c r="I28" t="s">
        <v>12</v>
      </c>
      <c r="J28">
        <f>J23*2</f>
        <v>7.1280000000000001</v>
      </c>
    </row>
    <row r="29" spans="1:11" x14ac:dyDescent="0.25">
      <c r="H29">
        <v>24</v>
      </c>
      <c r="I29" t="s">
        <v>212</v>
      </c>
      <c r="J29">
        <f>J24*2</f>
        <v>5.3120000000000003</v>
      </c>
    </row>
    <row r="30" spans="1:11" x14ac:dyDescent="0.25">
      <c r="H30">
        <v>25</v>
      </c>
      <c r="I30" t="s">
        <v>36</v>
      </c>
    </row>
    <row r="31" spans="1:11" x14ac:dyDescent="0.25">
      <c r="H31">
        <v>31</v>
      </c>
      <c r="I31" t="s">
        <v>110</v>
      </c>
    </row>
    <row r="32" spans="1:11" x14ac:dyDescent="0.25">
      <c r="H32">
        <v>32</v>
      </c>
      <c r="I32" t="s">
        <v>106</v>
      </c>
      <c r="J32">
        <f>J22*3</f>
        <v>10.091999999999999</v>
      </c>
    </row>
    <row r="33" spans="1:11" x14ac:dyDescent="0.25">
      <c r="H33">
        <v>33</v>
      </c>
      <c r="I33" t="s">
        <v>107</v>
      </c>
      <c r="J33">
        <f>J23*3</f>
        <v>10.692</v>
      </c>
    </row>
    <row r="34" spans="1:11" x14ac:dyDescent="0.25">
      <c r="H34">
        <v>34</v>
      </c>
      <c r="I34" t="s">
        <v>213</v>
      </c>
      <c r="J34">
        <f>J24*3</f>
        <v>7.968</v>
      </c>
    </row>
    <row r="35" spans="1:11" x14ac:dyDescent="0.25">
      <c r="H35">
        <v>35</v>
      </c>
      <c r="I35" t="s">
        <v>109</v>
      </c>
    </row>
    <row r="37" spans="1:11" x14ac:dyDescent="0.25">
      <c r="A37" s="3" t="s">
        <v>203</v>
      </c>
    </row>
    <row r="38" spans="1:11" x14ac:dyDescent="0.25">
      <c r="A38" t="s">
        <v>4</v>
      </c>
      <c r="B38" t="s">
        <v>1</v>
      </c>
      <c r="C38" t="s">
        <v>3</v>
      </c>
      <c r="D38" t="s">
        <v>4</v>
      </c>
      <c r="E38" t="s">
        <v>2</v>
      </c>
      <c r="F38" t="s">
        <v>3</v>
      </c>
      <c r="H38" t="s">
        <v>3</v>
      </c>
      <c r="I38" t="s">
        <v>9</v>
      </c>
      <c r="J38" t="s">
        <v>8</v>
      </c>
    </row>
    <row r="39" spans="1:11" x14ac:dyDescent="0.25">
      <c r="A39">
        <v>1</v>
      </c>
      <c r="B39" s="2" t="s">
        <v>81</v>
      </c>
      <c r="C39" s="1">
        <v>10</v>
      </c>
      <c r="D39" s="1">
        <v>1</v>
      </c>
      <c r="E39" s="1" t="s">
        <v>41</v>
      </c>
      <c r="F39">
        <v>1</v>
      </c>
      <c r="H39">
        <v>11</v>
      </c>
      <c r="I39" t="s">
        <v>99</v>
      </c>
      <c r="J39">
        <f>(K39)*10.76</f>
        <v>4.0457599999999996</v>
      </c>
      <c r="K39">
        <v>0.376</v>
      </c>
    </row>
    <row r="40" spans="1:11" x14ac:dyDescent="0.25">
      <c r="A40">
        <v>2</v>
      </c>
      <c r="B40" s="2" t="s">
        <v>39</v>
      </c>
      <c r="C40" s="1">
        <v>20</v>
      </c>
      <c r="D40" s="1">
        <v>2</v>
      </c>
      <c r="E40" s="1" t="s">
        <v>44</v>
      </c>
      <c r="F40">
        <v>2</v>
      </c>
      <c r="H40">
        <v>12</v>
      </c>
      <c r="I40" t="s">
        <v>86</v>
      </c>
      <c r="J40">
        <f t="shared" ref="J40:J62" si="1">(K40)*10.76</f>
        <v>3.4432000000000005</v>
      </c>
      <c r="K40">
        <v>0.32000000000000006</v>
      </c>
    </row>
    <row r="41" spans="1:11" x14ac:dyDescent="0.25">
      <c r="A41">
        <v>3</v>
      </c>
      <c r="B41" s="2" t="s">
        <v>40</v>
      </c>
      <c r="C41" s="1">
        <v>30</v>
      </c>
      <c r="D41" s="1">
        <v>3</v>
      </c>
      <c r="E41" s="1" t="s">
        <v>42</v>
      </c>
      <c r="F41">
        <v>3</v>
      </c>
      <c r="H41">
        <v>13</v>
      </c>
      <c r="I41" t="s">
        <v>87</v>
      </c>
      <c r="J41">
        <f t="shared" si="1"/>
        <v>3.6153600000000004</v>
      </c>
      <c r="K41">
        <v>0.33600000000000002</v>
      </c>
    </row>
    <row r="42" spans="1:11" x14ac:dyDescent="0.25">
      <c r="C42" s="1"/>
      <c r="D42" s="1">
        <v>4</v>
      </c>
      <c r="E42" s="1" t="s">
        <v>43</v>
      </c>
      <c r="F42">
        <v>4</v>
      </c>
      <c r="H42">
        <v>14</v>
      </c>
      <c r="I42" t="s">
        <v>98</v>
      </c>
      <c r="J42">
        <f t="shared" si="1"/>
        <v>2.8406400000000001</v>
      </c>
      <c r="K42">
        <v>0.26400000000000001</v>
      </c>
    </row>
    <row r="43" spans="1:11" x14ac:dyDescent="0.25">
      <c r="C43" s="1"/>
      <c r="D43" s="1">
        <v>5</v>
      </c>
      <c r="E43" s="1" t="s">
        <v>45</v>
      </c>
      <c r="F43">
        <v>5</v>
      </c>
      <c r="H43">
        <v>15</v>
      </c>
      <c r="I43" t="s">
        <v>88</v>
      </c>
      <c r="J43">
        <f t="shared" si="1"/>
        <v>3.7875200000000002</v>
      </c>
      <c r="K43">
        <v>0.35200000000000004</v>
      </c>
    </row>
    <row r="44" spans="1:11" x14ac:dyDescent="0.25">
      <c r="D44" s="1">
        <v>6</v>
      </c>
      <c r="E44" s="1" t="s">
        <v>46</v>
      </c>
      <c r="F44">
        <v>6</v>
      </c>
      <c r="H44">
        <v>16</v>
      </c>
      <c r="I44" t="s">
        <v>97</v>
      </c>
      <c r="J44">
        <f t="shared" si="1"/>
        <v>3.0127999999999995</v>
      </c>
      <c r="K44">
        <v>0.27999999999999997</v>
      </c>
    </row>
    <row r="45" spans="1:11" x14ac:dyDescent="0.25">
      <c r="D45" s="1">
        <v>7</v>
      </c>
      <c r="E45" s="1" t="s">
        <v>33</v>
      </c>
      <c r="F45">
        <v>7</v>
      </c>
      <c r="H45">
        <v>17</v>
      </c>
      <c r="I45" t="s">
        <v>89</v>
      </c>
      <c r="J45">
        <f t="shared" si="1"/>
        <v>3.9596800000000005</v>
      </c>
      <c r="K45">
        <v>0.36800000000000005</v>
      </c>
    </row>
    <row r="46" spans="1:11" x14ac:dyDescent="0.25">
      <c r="D46" s="1">
        <v>8</v>
      </c>
      <c r="E46" s="1" t="s">
        <v>47</v>
      </c>
      <c r="F46">
        <v>8</v>
      </c>
      <c r="H46">
        <v>18</v>
      </c>
      <c r="I46" t="s">
        <v>102</v>
      </c>
      <c r="J46">
        <f t="shared" si="1"/>
        <v>4.0457599999999996</v>
      </c>
      <c r="K46">
        <v>0.376</v>
      </c>
    </row>
    <row r="47" spans="1:11" x14ac:dyDescent="0.25">
      <c r="H47">
        <v>21</v>
      </c>
      <c r="I47" t="s">
        <v>48</v>
      </c>
      <c r="J47">
        <f t="shared" si="1"/>
        <v>6.1116799999999989</v>
      </c>
      <c r="K47">
        <v>0.56799999999999995</v>
      </c>
    </row>
    <row r="48" spans="1:11" x14ac:dyDescent="0.25">
      <c r="H48">
        <v>22</v>
      </c>
      <c r="I48" t="s">
        <v>49</v>
      </c>
      <c r="J48">
        <f t="shared" si="1"/>
        <v>5.76736</v>
      </c>
      <c r="K48">
        <v>0.53600000000000003</v>
      </c>
    </row>
    <row r="49" spans="1:11" x14ac:dyDescent="0.25">
      <c r="H49">
        <v>23</v>
      </c>
      <c r="I49" t="s">
        <v>50</v>
      </c>
      <c r="J49">
        <f t="shared" si="1"/>
        <v>5.2508799999999995</v>
      </c>
      <c r="K49">
        <v>0.48799999999999999</v>
      </c>
    </row>
    <row r="50" spans="1:11" x14ac:dyDescent="0.25">
      <c r="H50">
        <v>24</v>
      </c>
      <c r="I50" t="s">
        <v>53</v>
      </c>
      <c r="J50">
        <f t="shared" si="1"/>
        <v>4.9926399999999997</v>
      </c>
      <c r="K50">
        <v>0.46399999999999997</v>
      </c>
    </row>
    <row r="51" spans="1:11" x14ac:dyDescent="0.25">
      <c r="H51">
        <v>25</v>
      </c>
      <c r="I51" t="s">
        <v>51</v>
      </c>
      <c r="J51">
        <f t="shared" si="1"/>
        <v>5.3369599999999995</v>
      </c>
      <c r="K51">
        <v>0.496</v>
      </c>
    </row>
    <row r="52" spans="1:11" x14ac:dyDescent="0.25">
      <c r="H52">
        <v>26</v>
      </c>
      <c r="I52" t="s">
        <v>54</v>
      </c>
      <c r="J52">
        <f t="shared" si="1"/>
        <v>5.1647999999999996</v>
      </c>
      <c r="K52">
        <v>0.48</v>
      </c>
    </row>
    <row r="53" spans="1:11" x14ac:dyDescent="0.25">
      <c r="H53">
        <v>27</v>
      </c>
      <c r="I53" t="s">
        <v>52</v>
      </c>
      <c r="J53">
        <f t="shared" si="1"/>
        <v>5.85344</v>
      </c>
      <c r="K53">
        <v>0.54400000000000004</v>
      </c>
    </row>
    <row r="54" spans="1:11" x14ac:dyDescent="0.25">
      <c r="H54">
        <v>28</v>
      </c>
      <c r="I54" t="s">
        <v>55</v>
      </c>
      <c r="J54">
        <f t="shared" si="1"/>
        <v>5.939519999999999</v>
      </c>
      <c r="K54">
        <v>0.55199999999999994</v>
      </c>
    </row>
    <row r="55" spans="1:11" x14ac:dyDescent="0.25">
      <c r="H55">
        <v>31</v>
      </c>
      <c r="I55" t="s">
        <v>60</v>
      </c>
      <c r="J55">
        <f t="shared" si="1"/>
        <v>9.4688000000000017</v>
      </c>
      <c r="K55">
        <v>0.88000000000000012</v>
      </c>
    </row>
    <row r="56" spans="1:11" x14ac:dyDescent="0.25">
      <c r="H56">
        <v>32</v>
      </c>
      <c r="I56" t="s">
        <v>56</v>
      </c>
      <c r="J56">
        <f t="shared" si="1"/>
        <v>9.1244800000000001</v>
      </c>
      <c r="K56">
        <v>0.84800000000000009</v>
      </c>
    </row>
    <row r="57" spans="1:11" x14ac:dyDescent="0.25">
      <c r="H57">
        <v>33</v>
      </c>
      <c r="I57" t="s">
        <v>57</v>
      </c>
      <c r="J57">
        <f t="shared" si="1"/>
        <v>7.3168000000000006</v>
      </c>
      <c r="K57">
        <v>0.68</v>
      </c>
    </row>
    <row r="58" spans="1:11" x14ac:dyDescent="0.25">
      <c r="H58">
        <v>34</v>
      </c>
      <c r="I58" t="s">
        <v>61</v>
      </c>
      <c r="J58">
        <f t="shared" si="1"/>
        <v>6.9724800000000009</v>
      </c>
      <c r="K58">
        <v>0.64800000000000013</v>
      </c>
    </row>
    <row r="59" spans="1:11" x14ac:dyDescent="0.25">
      <c r="H59">
        <v>35</v>
      </c>
      <c r="I59" t="s">
        <v>58</v>
      </c>
      <c r="J59">
        <f t="shared" si="1"/>
        <v>7.4028800000000006</v>
      </c>
      <c r="K59">
        <v>0.68800000000000006</v>
      </c>
    </row>
    <row r="60" spans="1:11" x14ac:dyDescent="0.25">
      <c r="H60">
        <v>36</v>
      </c>
      <c r="I60" t="s">
        <v>62</v>
      </c>
      <c r="J60">
        <f t="shared" si="1"/>
        <v>7.0585599999999999</v>
      </c>
      <c r="K60">
        <v>0.65600000000000003</v>
      </c>
    </row>
    <row r="61" spans="1:11" x14ac:dyDescent="0.25">
      <c r="H61">
        <v>37</v>
      </c>
      <c r="I61" t="s">
        <v>59</v>
      </c>
      <c r="J61">
        <f t="shared" si="1"/>
        <v>8.8662400000000012</v>
      </c>
      <c r="K61">
        <v>0.82400000000000007</v>
      </c>
    </row>
    <row r="62" spans="1:11" x14ac:dyDescent="0.25">
      <c r="H62">
        <v>38</v>
      </c>
      <c r="I62" t="s">
        <v>63</v>
      </c>
      <c r="J62">
        <f t="shared" si="1"/>
        <v>9.2966400000000018</v>
      </c>
      <c r="K62">
        <v>0.8640000000000001</v>
      </c>
    </row>
    <row r="64" spans="1:11" x14ac:dyDescent="0.25">
      <c r="A64" s="3" t="s">
        <v>205</v>
      </c>
    </row>
    <row r="65" spans="1:11" x14ac:dyDescent="0.25">
      <c r="A65" t="s">
        <v>4</v>
      </c>
      <c r="B65" t="s">
        <v>1</v>
      </c>
      <c r="C65" t="s">
        <v>3</v>
      </c>
      <c r="D65" t="s">
        <v>4</v>
      </c>
      <c r="E65" t="s">
        <v>2</v>
      </c>
      <c r="F65" t="s">
        <v>3</v>
      </c>
      <c r="H65" t="s">
        <v>3</v>
      </c>
      <c r="I65" t="s">
        <v>9</v>
      </c>
      <c r="J65" t="s">
        <v>8</v>
      </c>
    </row>
    <row r="66" spans="1:11" x14ac:dyDescent="0.25">
      <c r="A66">
        <v>1</v>
      </c>
      <c r="B66" t="s">
        <v>191</v>
      </c>
      <c r="C66" s="1">
        <v>10</v>
      </c>
      <c r="D66" s="1">
        <v>1</v>
      </c>
      <c r="E66" s="1" t="s">
        <v>64</v>
      </c>
      <c r="F66">
        <v>1</v>
      </c>
      <c r="H66" s="2">
        <v>11</v>
      </c>
      <c r="I66" s="5" t="s">
        <v>192</v>
      </c>
      <c r="J66" s="91">
        <v>0.16869999999999999</v>
      </c>
      <c r="K66">
        <v>0.03</v>
      </c>
    </row>
    <row r="67" spans="1:11" x14ac:dyDescent="0.25">
      <c r="A67">
        <v>2</v>
      </c>
      <c r="B67" s="2" t="s">
        <v>74</v>
      </c>
      <c r="C67" s="1">
        <v>20</v>
      </c>
      <c r="D67" s="1">
        <v>2</v>
      </c>
      <c r="E67" s="1" t="s">
        <v>65</v>
      </c>
      <c r="F67">
        <v>2</v>
      </c>
      <c r="H67" s="2">
        <v>12</v>
      </c>
      <c r="I67" s="5" t="s">
        <v>193</v>
      </c>
      <c r="J67" s="91">
        <v>0.35699999999999998</v>
      </c>
      <c r="K67">
        <v>0.04</v>
      </c>
    </row>
    <row r="68" spans="1:11" x14ac:dyDescent="0.25">
      <c r="A68">
        <v>3</v>
      </c>
      <c r="B68" s="2" t="s">
        <v>81</v>
      </c>
      <c r="C68" s="1">
        <v>30</v>
      </c>
      <c r="D68" s="1">
        <v>3</v>
      </c>
      <c r="E68" s="1" t="s">
        <v>66</v>
      </c>
      <c r="F68">
        <v>3</v>
      </c>
      <c r="H68">
        <v>13</v>
      </c>
      <c r="I68" s="5" t="s">
        <v>194</v>
      </c>
      <c r="J68" s="91">
        <v>0.37169999999999997</v>
      </c>
      <c r="K68">
        <v>0.03</v>
      </c>
    </row>
    <row r="69" spans="1:11" x14ac:dyDescent="0.25">
      <c r="C69" s="1"/>
      <c r="D69" s="1">
        <v>4</v>
      </c>
      <c r="E69" s="1" t="s">
        <v>67</v>
      </c>
      <c r="F69">
        <v>4</v>
      </c>
      <c r="H69">
        <v>14</v>
      </c>
      <c r="I69" s="5" t="s">
        <v>195</v>
      </c>
      <c r="J69" s="92">
        <v>0.39</v>
      </c>
      <c r="K69">
        <v>0.03</v>
      </c>
    </row>
    <row r="70" spans="1:11" x14ac:dyDescent="0.25">
      <c r="C70" s="1"/>
      <c r="D70" s="1">
        <v>5</v>
      </c>
      <c r="E70" s="1" t="s">
        <v>68</v>
      </c>
      <c r="F70">
        <v>5</v>
      </c>
      <c r="H70" s="5">
        <v>21</v>
      </c>
      <c r="I70" s="5" t="s">
        <v>75</v>
      </c>
      <c r="J70" s="90">
        <v>0.24099999999999999</v>
      </c>
      <c r="K70">
        <v>0.05</v>
      </c>
    </row>
    <row r="71" spans="1:11" x14ac:dyDescent="0.25">
      <c r="D71" s="1">
        <v>6</v>
      </c>
      <c r="E71" s="1" t="s">
        <v>69</v>
      </c>
      <c r="F71">
        <v>6</v>
      </c>
      <c r="H71" s="5">
        <v>22</v>
      </c>
      <c r="I71" s="5" t="s">
        <v>76</v>
      </c>
      <c r="J71" s="90">
        <v>0.51</v>
      </c>
      <c r="K71">
        <v>0.06</v>
      </c>
    </row>
    <row r="72" spans="1:11" x14ac:dyDescent="0.25">
      <c r="D72" s="1"/>
      <c r="E72" s="1"/>
      <c r="H72" s="5">
        <v>23</v>
      </c>
      <c r="I72" s="5" t="s">
        <v>77</v>
      </c>
      <c r="J72" s="90">
        <v>0.53100000000000003</v>
      </c>
      <c r="K72">
        <v>0.05</v>
      </c>
    </row>
    <row r="73" spans="1:11" x14ac:dyDescent="0.25">
      <c r="H73" s="5">
        <v>24</v>
      </c>
      <c r="I73" s="5" t="s">
        <v>78</v>
      </c>
      <c r="J73" s="92">
        <v>0.55800000000000005</v>
      </c>
      <c r="K73">
        <v>0.05</v>
      </c>
    </row>
    <row r="74" spans="1:11" x14ac:dyDescent="0.25">
      <c r="H74" s="5">
        <v>25</v>
      </c>
      <c r="I74" s="5" t="s">
        <v>79</v>
      </c>
      <c r="J74" s="90">
        <v>0.77300000000000002</v>
      </c>
      <c r="K74" s="4">
        <v>0.2</v>
      </c>
    </row>
    <row r="75" spans="1:11" x14ac:dyDescent="0.25">
      <c r="H75" s="5">
        <v>26</v>
      </c>
      <c r="I75" s="5" t="s">
        <v>80</v>
      </c>
      <c r="J75" s="90">
        <v>0.8165</v>
      </c>
      <c r="K75" s="4">
        <v>0.3</v>
      </c>
    </row>
    <row r="76" spans="1:11" x14ac:dyDescent="0.25">
      <c r="H76" s="5">
        <v>31</v>
      </c>
      <c r="I76" s="5" t="s">
        <v>90</v>
      </c>
      <c r="J76" s="90">
        <v>0.80500000000000005</v>
      </c>
      <c r="K76" s="5">
        <v>0.2</v>
      </c>
    </row>
    <row r="77" spans="1:11" x14ac:dyDescent="0.25">
      <c r="H77" s="5">
        <v>32</v>
      </c>
      <c r="I77" s="5" t="s">
        <v>91</v>
      </c>
      <c r="J77" s="90">
        <v>2.0489999999999999</v>
      </c>
      <c r="K77" s="5">
        <v>0.24</v>
      </c>
    </row>
    <row r="78" spans="1:11" x14ac:dyDescent="0.25">
      <c r="H78" s="5">
        <v>33</v>
      </c>
      <c r="I78" s="5" t="s">
        <v>92</v>
      </c>
      <c r="J78" s="90">
        <v>2.67</v>
      </c>
      <c r="K78" s="5">
        <v>0.22</v>
      </c>
    </row>
    <row r="79" spans="1:11" x14ac:dyDescent="0.25">
      <c r="H79" s="5">
        <v>34</v>
      </c>
      <c r="I79" s="5" t="s">
        <v>93</v>
      </c>
      <c r="J79" s="91">
        <v>2.9369999999999998</v>
      </c>
      <c r="K79" s="5">
        <v>0.24</v>
      </c>
    </row>
    <row r="80" spans="1:11" x14ac:dyDescent="0.25">
      <c r="H80" s="5">
        <v>35</v>
      </c>
      <c r="I80" s="5" t="s">
        <v>94</v>
      </c>
      <c r="J80" s="90">
        <v>3.0920000000000001</v>
      </c>
      <c r="K80" s="5">
        <v>0.28999999999999998</v>
      </c>
    </row>
    <row r="81" spans="1:11" x14ac:dyDescent="0.25">
      <c r="H81" s="5">
        <v>36</v>
      </c>
      <c r="I81" s="5" t="s">
        <v>95</v>
      </c>
      <c r="J81" s="90">
        <v>3.266</v>
      </c>
      <c r="K81" s="5">
        <v>0.3</v>
      </c>
    </row>
    <row r="82" spans="1:11" x14ac:dyDescent="0.25">
      <c r="H82" s="5"/>
      <c r="I82" s="5"/>
      <c r="J82" s="5"/>
    </row>
    <row r="83" spans="1:11" x14ac:dyDescent="0.25">
      <c r="A83" s="3" t="s">
        <v>204</v>
      </c>
      <c r="H83" s="5"/>
      <c r="I83" s="5"/>
      <c r="J83" s="5"/>
    </row>
    <row r="84" spans="1:11" x14ac:dyDescent="0.25">
      <c r="A84" t="s">
        <v>4</v>
      </c>
      <c r="B84" t="s">
        <v>1</v>
      </c>
      <c r="C84" t="s">
        <v>3</v>
      </c>
      <c r="D84" t="s">
        <v>4</v>
      </c>
      <c r="E84" t="s">
        <v>2</v>
      </c>
      <c r="F84" t="s">
        <v>3</v>
      </c>
      <c r="H84" s="5" t="s">
        <v>3</v>
      </c>
      <c r="I84" s="5" t="s">
        <v>9</v>
      </c>
      <c r="J84" s="5" t="s">
        <v>8</v>
      </c>
    </row>
    <row r="85" spans="1:11" x14ac:dyDescent="0.25">
      <c r="A85">
        <v>1</v>
      </c>
      <c r="B85" t="s">
        <v>191</v>
      </c>
      <c r="C85" s="1">
        <v>10</v>
      </c>
      <c r="D85" s="1">
        <v>1</v>
      </c>
      <c r="E85" s="1" t="s">
        <v>64</v>
      </c>
      <c r="F85">
        <v>1</v>
      </c>
      <c r="H85" s="2">
        <v>11</v>
      </c>
      <c r="I85" s="5" t="s">
        <v>192</v>
      </c>
      <c r="J85" s="91">
        <v>0.16869999999999999</v>
      </c>
      <c r="K85" s="5">
        <v>0.04</v>
      </c>
    </row>
    <row r="86" spans="1:11" x14ac:dyDescent="0.25">
      <c r="A86">
        <v>2</v>
      </c>
      <c r="B86" s="2" t="s">
        <v>74</v>
      </c>
      <c r="C86" s="1">
        <v>20</v>
      </c>
      <c r="D86" s="1">
        <v>2</v>
      </c>
      <c r="E86" s="1" t="s">
        <v>65</v>
      </c>
      <c r="F86">
        <v>2</v>
      </c>
      <c r="H86" s="2">
        <v>12</v>
      </c>
      <c r="I86" s="5" t="s">
        <v>193</v>
      </c>
      <c r="J86" s="91">
        <v>0.35699999999999998</v>
      </c>
      <c r="K86" s="5">
        <v>0.06</v>
      </c>
    </row>
    <row r="87" spans="1:11" x14ac:dyDescent="0.25">
      <c r="A87">
        <v>3</v>
      </c>
      <c r="B87" s="2" t="s">
        <v>81</v>
      </c>
      <c r="C87" s="1">
        <v>30</v>
      </c>
      <c r="D87" s="1">
        <v>3</v>
      </c>
      <c r="E87" s="1" t="s">
        <v>66</v>
      </c>
      <c r="F87">
        <v>3</v>
      </c>
      <c r="H87">
        <v>13</v>
      </c>
      <c r="I87" s="5" t="s">
        <v>194</v>
      </c>
      <c r="J87" s="91">
        <v>0.37169999999999997</v>
      </c>
      <c r="K87" s="5">
        <v>0.05</v>
      </c>
    </row>
    <row r="88" spans="1:11" x14ac:dyDescent="0.25">
      <c r="C88" s="1"/>
      <c r="D88" s="1">
        <v>4</v>
      </c>
      <c r="E88" s="1" t="s">
        <v>67</v>
      </c>
      <c r="F88">
        <v>4</v>
      </c>
      <c r="H88">
        <v>14</v>
      </c>
      <c r="I88" s="5" t="s">
        <v>195</v>
      </c>
      <c r="J88" s="92">
        <v>0.37169999999999997</v>
      </c>
      <c r="K88" s="5">
        <v>0.05</v>
      </c>
    </row>
    <row r="89" spans="1:11" x14ac:dyDescent="0.25">
      <c r="C89" s="1"/>
      <c r="D89" s="1">
        <v>5</v>
      </c>
      <c r="E89" s="1" t="s">
        <v>68</v>
      </c>
      <c r="F89">
        <v>5</v>
      </c>
      <c r="H89" s="5">
        <v>21</v>
      </c>
      <c r="I89" s="5" t="s">
        <v>75</v>
      </c>
      <c r="J89" s="90">
        <v>0.24099999999999999</v>
      </c>
      <c r="K89" s="5">
        <v>0.06</v>
      </c>
    </row>
    <row r="90" spans="1:11" x14ac:dyDescent="0.25">
      <c r="D90" s="1">
        <v>6</v>
      </c>
      <c r="E90" s="1" t="s">
        <v>69</v>
      </c>
      <c r="F90">
        <v>6</v>
      </c>
      <c r="H90" s="5">
        <v>22</v>
      </c>
      <c r="I90" s="5" t="s">
        <v>76</v>
      </c>
      <c r="J90" s="90">
        <v>0.51</v>
      </c>
      <c r="K90" s="5">
        <v>0.08</v>
      </c>
    </row>
    <row r="91" spans="1:11" x14ac:dyDescent="0.25">
      <c r="D91" s="1"/>
      <c r="E91" s="1"/>
      <c r="H91" s="5">
        <v>23</v>
      </c>
      <c r="I91" s="5" t="s">
        <v>77</v>
      </c>
      <c r="J91" s="90">
        <v>0.53</v>
      </c>
      <c r="K91" s="5">
        <v>7.0000000000000007E-2</v>
      </c>
    </row>
    <row r="92" spans="1:11" x14ac:dyDescent="0.25">
      <c r="H92" s="5">
        <v>24</v>
      </c>
      <c r="I92" s="5" t="s">
        <v>78</v>
      </c>
      <c r="J92" s="92">
        <v>0.53</v>
      </c>
      <c r="K92" s="5">
        <v>7.0000000000000007E-2</v>
      </c>
    </row>
    <row r="93" spans="1:11" x14ac:dyDescent="0.25">
      <c r="H93" s="5">
        <v>25</v>
      </c>
      <c r="I93" s="5" t="s">
        <v>79</v>
      </c>
      <c r="J93" s="90">
        <v>0.77300000000000002</v>
      </c>
      <c r="K93" s="4">
        <v>0.4</v>
      </c>
    </row>
    <row r="94" spans="1:11" x14ac:dyDescent="0.25">
      <c r="H94" s="5">
        <v>26</v>
      </c>
      <c r="I94" s="5" t="s">
        <v>80</v>
      </c>
      <c r="J94" s="90">
        <v>0.8165</v>
      </c>
      <c r="K94" s="4">
        <v>0.5</v>
      </c>
    </row>
    <row r="95" spans="1:11" x14ac:dyDescent="0.25">
      <c r="H95" s="5">
        <v>31</v>
      </c>
      <c r="I95" s="5" t="s">
        <v>90</v>
      </c>
      <c r="J95" s="90">
        <v>0.79500000000000004</v>
      </c>
      <c r="K95" s="5">
        <v>0.19</v>
      </c>
    </row>
    <row r="96" spans="1:11" x14ac:dyDescent="0.25">
      <c r="H96" s="5">
        <v>32</v>
      </c>
      <c r="I96" s="5" t="s">
        <v>91</v>
      </c>
      <c r="J96" s="90">
        <v>2.048</v>
      </c>
      <c r="K96" s="5">
        <v>0.24</v>
      </c>
    </row>
    <row r="97" spans="1:11" x14ac:dyDescent="0.25">
      <c r="H97" s="5">
        <v>33</v>
      </c>
      <c r="I97" s="5" t="s">
        <v>92</v>
      </c>
      <c r="J97" s="90">
        <v>2.6680000000000001</v>
      </c>
      <c r="K97" s="5">
        <v>0.26</v>
      </c>
    </row>
    <row r="98" spans="1:11" x14ac:dyDescent="0.25">
      <c r="H98" s="5">
        <v>34</v>
      </c>
      <c r="I98" s="5" t="s">
        <v>93</v>
      </c>
      <c r="J98" s="90">
        <v>2.9369999999999998</v>
      </c>
      <c r="K98" s="5">
        <v>0.28000000000000003</v>
      </c>
    </row>
    <row r="99" spans="1:11" x14ac:dyDescent="0.25">
      <c r="H99" s="5">
        <v>35</v>
      </c>
      <c r="I99" s="5" t="s">
        <v>94</v>
      </c>
      <c r="J99" s="90">
        <v>3.09</v>
      </c>
      <c r="K99" s="5">
        <v>0.3</v>
      </c>
    </row>
    <row r="100" spans="1:11" x14ac:dyDescent="0.25">
      <c r="H100" s="5">
        <v>36</v>
      </c>
      <c r="I100" s="5" t="s">
        <v>95</v>
      </c>
      <c r="J100" s="90">
        <v>3.2639999999999998</v>
      </c>
      <c r="K100" s="5">
        <v>0.3</v>
      </c>
    </row>
    <row r="101" spans="1:11" x14ac:dyDescent="0.25">
      <c r="H101" s="5"/>
      <c r="I101" s="5"/>
      <c r="J101" s="5"/>
    </row>
    <row r="102" spans="1:11" x14ac:dyDescent="0.25">
      <c r="A102" s="3" t="s">
        <v>70</v>
      </c>
      <c r="H102" s="5"/>
      <c r="I102" s="5"/>
      <c r="J102" s="5"/>
    </row>
    <row r="103" spans="1:11" x14ac:dyDescent="0.25">
      <c r="A103" t="s">
        <v>4</v>
      </c>
      <c r="B103" t="s">
        <v>1</v>
      </c>
      <c r="C103" t="s">
        <v>3</v>
      </c>
      <c r="D103" t="s">
        <v>4</v>
      </c>
      <c r="E103" t="s">
        <v>2</v>
      </c>
      <c r="F103" t="s">
        <v>3</v>
      </c>
      <c r="H103" s="5" t="s">
        <v>3</v>
      </c>
      <c r="I103" s="5" t="s">
        <v>9</v>
      </c>
      <c r="J103" s="5" t="s">
        <v>8</v>
      </c>
    </row>
    <row r="104" spans="1:11" x14ac:dyDescent="0.25">
      <c r="A104">
        <v>1</v>
      </c>
      <c r="B104" s="2" t="s">
        <v>74</v>
      </c>
      <c r="C104" s="1">
        <v>10</v>
      </c>
      <c r="D104" s="1">
        <v>1</v>
      </c>
      <c r="E104" s="1" t="s">
        <v>64</v>
      </c>
      <c r="F104">
        <v>1</v>
      </c>
      <c r="H104" s="5">
        <v>11</v>
      </c>
      <c r="I104" s="5" t="s">
        <v>75</v>
      </c>
      <c r="J104">
        <f>(K104)*10.76</f>
        <v>0.75320000000000009</v>
      </c>
      <c r="K104" s="5">
        <v>7.0000000000000007E-2</v>
      </c>
    </row>
    <row r="105" spans="1:11" x14ac:dyDescent="0.25">
      <c r="A105">
        <v>2</v>
      </c>
      <c r="B105" s="2" t="s">
        <v>81</v>
      </c>
      <c r="C105" s="1">
        <v>20</v>
      </c>
      <c r="D105" s="1">
        <v>2</v>
      </c>
      <c r="E105" s="1" t="s">
        <v>65</v>
      </c>
      <c r="F105">
        <v>2</v>
      </c>
      <c r="H105" s="5">
        <v>12</v>
      </c>
      <c r="I105" s="5" t="s">
        <v>76</v>
      </c>
      <c r="J105">
        <f t="shared" ref="J105:J115" si="2">(K105)*10.76</f>
        <v>0.86080000000000001</v>
      </c>
      <c r="K105" s="5">
        <v>0.08</v>
      </c>
    </row>
    <row r="106" spans="1:11" x14ac:dyDescent="0.25">
      <c r="B106" s="2"/>
      <c r="C106" s="1"/>
      <c r="D106" s="1">
        <v>3</v>
      </c>
      <c r="E106" s="1" t="s">
        <v>66</v>
      </c>
      <c r="F106">
        <v>3</v>
      </c>
      <c r="H106" s="5">
        <v>13</v>
      </c>
      <c r="I106" s="5" t="s">
        <v>77</v>
      </c>
      <c r="J106">
        <f t="shared" si="2"/>
        <v>0.86080000000000001</v>
      </c>
      <c r="K106" s="5">
        <v>0.08</v>
      </c>
    </row>
    <row r="107" spans="1:11" x14ac:dyDescent="0.25">
      <c r="C107" s="1"/>
      <c r="D107" s="1">
        <v>4</v>
      </c>
      <c r="E107" s="1" t="s">
        <v>67</v>
      </c>
      <c r="F107">
        <v>4</v>
      </c>
      <c r="H107" s="5">
        <v>14</v>
      </c>
      <c r="I107" s="5" t="s">
        <v>78</v>
      </c>
      <c r="J107">
        <f t="shared" si="2"/>
        <v>0.86080000000000001</v>
      </c>
      <c r="K107" s="5">
        <v>0.08</v>
      </c>
    </row>
    <row r="108" spans="1:11" x14ac:dyDescent="0.25">
      <c r="C108" s="1"/>
      <c r="D108" s="1">
        <v>5</v>
      </c>
      <c r="E108" s="1" t="s">
        <v>68</v>
      </c>
      <c r="F108">
        <v>5</v>
      </c>
      <c r="H108" s="5">
        <v>15</v>
      </c>
      <c r="I108" s="5" t="s">
        <v>79</v>
      </c>
      <c r="J108">
        <f t="shared" si="2"/>
        <v>2.1520000000000001</v>
      </c>
      <c r="K108" s="4">
        <v>0.2</v>
      </c>
    </row>
    <row r="109" spans="1:11" x14ac:dyDescent="0.25">
      <c r="D109" s="1">
        <v>6</v>
      </c>
      <c r="E109" s="1" t="s">
        <v>69</v>
      </c>
      <c r="F109">
        <v>6</v>
      </c>
      <c r="H109" s="5">
        <v>16</v>
      </c>
      <c r="I109" s="5" t="s">
        <v>80</v>
      </c>
      <c r="J109">
        <f t="shared" si="2"/>
        <v>3.2279999999999998</v>
      </c>
      <c r="K109" s="4">
        <v>0.3</v>
      </c>
    </row>
    <row r="110" spans="1:11" x14ac:dyDescent="0.25">
      <c r="D110" s="1"/>
      <c r="E110" s="1"/>
      <c r="H110" s="5">
        <v>21</v>
      </c>
      <c r="I110" s="5" t="s">
        <v>90</v>
      </c>
      <c r="J110">
        <f t="shared" si="2"/>
        <v>2.2595999999999998</v>
      </c>
      <c r="K110" s="5">
        <v>0.21</v>
      </c>
    </row>
    <row r="111" spans="1:11" x14ac:dyDescent="0.25">
      <c r="H111" s="5">
        <v>22</v>
      </c>
      <c r="I111" s="5" t="s">
        <v>91</v>
      </c>
      <c r="J111">
        <f t="shared" si="2"/>
        <v>2.69</v>
      </c>
      <c r="K111" s="5">
        <v>0.25</v>
      </c>
    </row>
    <row r="112" spans="1:11" x14ac:dyDescent="0.25">
      <c r="H112">
        <v>23</v>
      </c>
      <c r="I112" s="5" t="s">
        <v>92</v>
      </c>
      <c r="J112">
        <f t="shared" si="2"/>
        <v>2.5823999999999998</v>
      </c>
      <c r="K112" s="5">
        <v>0.24</v>
      </c>
    </row>
    <row r="113" spans="1:11" x14ac:dyDescent="0.25">
      <c r="H113">
        <v>24</v>
      </c>
      <c r="I113" s="5" t="s">
        <v>93</v>
      </c>
      <c r="J113">
        <f t="shared" si="2"/>
        <v>2.7976000000000001</v>
      </c>
      <c r="K113" s="5">
        <v>0.26</v>
      </c>
    </row>
    <row r="114" spans="1:11" x14ac:dyDescent="0.25">
      <c r="H114">
        <v>25</v>
      </c>
      <c r="I114" s="5" t="s">
        <v>94</v>
      </c>
      <c r="J114">
        <f t="shared" si="2"/>
        <v>2.9052000000000002</v>
      </c>
      <c r="K114" s="5">
        <v>0.27</v>
      </c>
    </row>
    <row r="115" spans="1:11" x14ac:dyDescent="0.25">
      <c r="A115">
        <v>0</v>
      </c>
      <c r="H115">
        <v>26</v>
      </c>
      <c r="I115" s="5" t="s">
        <v>95</v>
      </c>
      <c r="J115">
        <f t="shared" si="2"/>
        <v>2.9052000000000002</v>
      </c>
      <c r="K115" s="5">
        <v>0.27</v>
      </c>
    </row>
    <row r="117" spans="1:11" x14ac:dyDescent="0.25">
      <c r="A117" s="3" t="s">
        <v>29</v>
      </c>
    </row>
    <row r="118" spans="1:11" x14ac:dyDescent="0.25">
      <c r="A118" t="s">
        <v>4</v>
      </c>
      <c r="B118" s="41" t="s">
        <v>120</v>
      </c>
      <c r="C118" t="s">
        <v>3</v>
      </c>
      <c r="D118" t="s">
        <v>4</v>
      </c>
      <c r="E118" t="s">
        <v>147</v>
      </c>
      <c r="F118" t="s">
        <v>3</v>
      </c>
      <c r="H118" t="s">
        <v>3</v>
      </c>
      <c r="I118" s="5" t="s">
        <v>170</v>
      </c>
      <c r="J118" t="s">
        <v>3</v>
      </c>
      <c r="K118" t="s">
        <v>172</v>
      </c>
    </row>
    <row r="119" spans="1:11" x14ac:dyDescent="0.25">
      <c r="A119">
        <v>1</v>
      </c>
      <c r="B119" t="s">
        <v>178</v>
      </c>
      <c r="C119">
        <v>0</v>
      </c>
      <c r="D119">
        <v>1</v>
      </c>
      <c r="E119" t="s">
        <v>179</v>
      </c>
      <c r="F119">
        <v>1</v>
      </c>
      <c r="H119">
        <v>1</v>
      </c>
      <c r="I119" s="43">
        <v>0</v>
      </c>
      <c r="J119">
        <v>2</v>
      </c>
      <c r="K119">
        <v>0</v>
      </c>
    </row>
    <row r="120" spans="1:11" x14ac:dyDescent="0.25">
      <c r="A120">
        <v>2</v>
      </c>
      <c r="B120" t="s">
        <v>132</v>
      </c>
      <c r="C120">
        <v>0</v>
      </c>
      <c r="D120">
        <v>2</v>
      </c>
      <c r="E120" t="s">
        <v>123</v>
      </c>
      <c r="F120">
        <v>2</v>
      </c>
      <c r="H120">
        <v>2</v>
      </c>
      <c r="I120" s="43">
        <v>254</v>
      </c>
      <c r="J120">
        <v>4</v>
      </c>
      <c r="K120">
        <v>12</v>
      </c>
    </row>
    <row r="121" spans="1:11" x14ac:dyDescent="0.25">
      <c r="A121">
        <v>3</v>
      </c>
      <c r="B121" t="s">
        <v>133</v>
      </c>
      <c r="C121">
        <v>0</v>
      </c>
      <c r="D121">
        <v>3</v>
      </c>
      <c r="E121" t="s">
        <v>124</v>
      </c>
      <c r="F121">
        <v>3</v>
      </c>
      <c r="H121">
        <v>3</v>
      </c>
      <c r="I121" s="43">
        <v>297</v>
      </c>
      <c r="J121">
        <v>6</v>
      </c>
      <c r="K121">
        <v>15</v>
      </c>
    </row>
    <row r="122" spans="1:11" x14ac:dyDescent="0.25">
      <c r="A122">
        <v>4</v>
      </c>
      <c r="B122" t="s">
        <v>134</v>
      </c>
      <c r="C122">
        <v>0</v>
      </c>
      <c r="D122">
        <v>4</v>
      </c>
      <c r="E122" t="s">
        <v>125</v>
      </c>
      <c r="F122">
        <v>4</v>
      </c>
      <c r="H122">
        <v>4</v>
      </c>
      <c r="I122" s="43">
        <v>355.6</v>
      </c>
      <c r="J122">
        <v>8</v>
      </c>
      <c r="K122">
        <v>20</v>
      </c>
    </row>
    <row r="123" spans="1:11" x14ac:dyDescent="0.25">
      <c r="A123">
        <v>5</v>
      </c>
      <c r="B123" t="s">
        <v>135</v>
      </c>
      <c r="C123">
        <v>0</v>
      </c>
      <c r="D123">
        <v>5</v>
      </c>
      <c r="E123" t="s">
        <v>126</v>
      </c>
      <c r="F123">
        <v>5</v>
      </c>
      <c r="H123">
        <v>5</v>
      </c>
      <c r="I123" s="43">
        <v>406.4</v>
      </c>
      <c r="J123">
        <v>10</v>
      </c>
      <c r="K123">
        <v>25</v>
      </c>
    </row>
    <row r="124" spans="1:11" x14ac:dyDescent="0.25">
      <c r="A124">
        <v>6</v>
      </c>
      <c r="B124" t="s">
        <v>136</v>
      </c>
      <c r="C124">
        <v>0</v>
      </c>
      <c r="D124">
        <v>6</v>
      </c>
      <c r="E124" t="s">
        <v>127</v>
      </c>
      <c r="F124">
        <v>6</v>
      </c>
      <c r="H124">
        <v>6</v>
      </c>
      <c r="I124" s="43">
        <v>420</v>
      </c>
      <c r="J124">
        <v>12</v>
      </c>
      <c r="K124">
        <v>30</v>
      </c>
    </row>
    <row r="125" spans="1:11" x14ac:dyDescent="0.25">
      <c r="A125">
        <v>7</v>
      </c>
      <c r="B125" t="s">
        <v>131</v>
      </c>
      <c r="C125">
        <v>0</v>
      </c>
      <c r="D125">
        <v>7</v>
      </c>
      <c r="E125" t="s">
        <v>128</v>
      </c>
      <c r="F125">
        <v>7</v>
      </c>
      <c r="H125">
        <v>7</v>
      </c>
      <c r="I125" s="43">
        <v>431.8</v>
      </c>
      <c r="J125">
        <v>14</v>
      </c>
      <c r="K125">
        <v>50</v>
      </c>
    </row>
    <row r="126" spans="1:11" x14ac:dyDescent="0.25">
      <c r="A126">
        <v>8</v>
      </c>
      <c r="B126" t="s">
        <v>137</v>
      </c>
      <c r="C126">
        <v>0</v>
      </c>
      <c r="D126">
        <v>8</v>
      </c>
      <c r="E126" t="s">
        <v>129</v>
      </c>
      <c r="F126">
        <v>8</v>
      </c>
      <c r="H126">
        <v>8</v>
      </c>
      <c r="I126" s="43">
        <v>515</v>
      </c>
      <c r="J126">
        <v>16</v>
      </c>
      <c r="K126">
        <v>100</v>
      </c>
    </row>
    <row r="127" spans="1:11" x14ac:dyDescent="0.25">
      <c r="A127">
        <v>9</v>
      </c>
      <c r="B127" t="s">
        <v>138</v>
      </c>
      <c r="C127">
        <v>0</v>
      </c>
      <c r="D127">
        <v>9</v>
      </c>
      <c r="E127" t="s">
        <v>130</v>
      </c>
      <c r="F127">
        <v>9</v>
      </c>
      <c r="H127">
        <v>9</v>
      </c>
      <c r="I127" s="43">
        <v>594</v>
      </c>
      <c r="J127">
        <v>18</v>
      </c>
      <c r="K127">
        <v>150</v>
      </c>
    </row>
    <row r="128" spans="1:11" x14ac:dyDescent="0.25">
      <c r="A128">
        <v>10</v>
      </c>
      <c r="B128" t="s">
        <v>141</v>
      </c>
      <c r="C128">
        <v>0</v>
      </c>
      <c r="H128">
        <v>10</v>
      </c>
      <c r="I128" s="43">
        <v>609.6</v>
      </c>
    </row>
    <row r="129" spans="1:11" x14ac:dyDescent="0.25">
      <c r="A129">
        <v>11</v>
      </c>
      <c r="B129" t="s">
        <v>139</v>
      </c>
      <c r="C129">
        <v>0</v>
      </c>
      <c r="H129">
        <v>11</v>
      </c>
      <c r="I129" s="43">
        <v>728</v>
      </c>
    </row>
    <row r="130" spans="1:11" x14ac:dyDescent="0.25">
      <c r="A130">
        <v>12</v>
      </c>
      <c r="B130" t="s">
        <v>140</v>
      </c>
      <c r="I130" s="43"/>
    </row>
    <row r="131" spans="1:11" x14ac:dyDescent="0.25">
      <c r="A131">
        <v>13</v>
      </c>
      <c r="B131" t="s">
        <v>196</v>
      </c>
      <c r="C131">
        <v>0</v>
      </c>
      <c r="H131">
        <v>12</v>
      </c>
      <c r="I131" s="43">
        <v>762</v>
      </c>
    </row>
    <row r="132" spans="1:11" x14ac:dyDescent="0.25">
      <c r="A132">
        <v>14</v>
      </c>
      <c r="B132" t="s">
        <v>142</v>
      </c>
      <c r="C132">
        <v>0</v>
      </c>
      <c r="H132">
        <v>13</v>
      </c>
      <c r="I132" s="43">
        <v>914.4</v>
      </c>
    </row>
    <row r="133" spans="1:11" x14ac:dyDescent="0.25">
      <c r="A133">
        <v>15</v>
      </c>
      <c r="B133" t="s">
        <v>143</v>
      </c>
      <c r="C133">
        <v>0</v>
      </c>
      <c r="H133">
        <v>14</v>
      </c>
      <c r="I133" s="43">
        <v>1030</v>
      </c>
    </row>
    <row r="134" spans="1:11" x14ac:dyDescent="0.25">
      <c r="A134">
        <v>16</v>
      </c>
      <c r="B134" t="s">
        <v>144</v>
      </c>
      <c r="C134">
        <v>0</v>
      </c>
      <c r="H134">
        <v>15</v>
      </c>
      <c r="I134" s="43">
        <v>1066.8</v>
      </c>
    </row>
    <row r="135" spans="1:11" x14ac:dyDescent="0.25">
      <c r="A135">
        <v>17</v>
      </c>
      <c r="B135" t="s">
        <v>145</v>
      </c>
      <c r="C135">
        <v>0</v>
      </c>
      <c r="H135">
        <v>16</v>
      </c>
      <c r="I135" s="43">
        <v>1117.5999999999999</v>
      </c>
    </row>
    <row r="136" spans="1:11" x14ac:dyDescent="0.25">
      <c r="A136">
        <v>18</v>
      </c>
      <c r="B136" t="s">
        <v>121</v>
      </c>
      <c r="C136">
        <v>0</v>
      </c>
      <c r="H136">
        <v>17</v>
      </c>
      <c r="I136" s="43">
        <v>1270</v>
      </c>
    </row>
    <row r="137" spans="1:11" x14ac:dyDescent="0.25">
      <c r="A137">
        <v>19</v>
      </c>
      <c r="B137" t="s">
        <v>146</v>
      </c>
      <c r="C137">
        <v>0</v>
      </c>
      <c r="H137">
        <v>18</v>
      </c>
      <c r="I137" s="43">
        <v>1371.6</v>
      </c>
    </row>
    <row r="138" spans="1:11" x14ac:dyDescent="0.25">
      <c r="A138">
        <v>20</v>
      </c>
      <c r="B138" t="s">
        <v>122</v>
      </c>
      <c r="C138">
        <v>0</v>
      </c>
      <c r="H138">
        <v>19</v>
      </c>
      <c r="I138" s="43">
        <v>1524</v>
      </c>
    </row>
    <row r="139" spans="1:11" x14ac:dyDescent="0.25">
      <c r="I139" s="43"/>
    </row>
    <row r="140" spans="1:11" x14ac:dyDescent="0.25">
      <c r="I140" s="43"/>
    </row>
    <row r="141" spans="1:11" x14ac:dyDescent="0.25">
      <c r="A141" s="3" t="s">
        <v>148</v>
      </c>
    </row>
    <row r="142" spans="1:11" x14ac:dyDescent="0.25">
      <c r="A142" s="3" t="s">
        <v>4</v>
      </c>
      <c r="B142" s="3" t="s">
        <v>148</v>
      </c>
      <c r="C142" t="s">
        <v>3</v>
      </c>
      <c r="D142" t="s">
        <v>4</v>
      </c>
      <c r="F142" s="3" t="s">
        <v>3</v>
      </c>
      <c r="H142" t="s">
        <v>3</v>
      </c>
      <c r="I142" s="3" t="s">
        <v>173</v>
      </c>
      <c r="J142" t="s">
        <v>3</v>
      </c>
      <c r="K142" s="3" t="s">
        <v>174</v>
      </c>
    </row>
    <row r="143" spans="1:11" x14ac:dyDescent="0.25">
      <c r="A143" s="2">
        <v>1</v>
      </c>
      <c r="B143" t="s">
        <v>177</v>
      </c>
      <c r="C143">
        <v>0</v>
      </c>
      <c r="D143" s="2">
        <v>1</v>
      </c>
      <c r="E143" s="3" t="s">
        <v>159</v>
      </c>
      <c r="F143" s="2">
        <v>1</v>
      </c>
      <c r="H143">
        <v>1</v>
      </c>
      <c r="I143" s="43">
        <v>0</v>
      </c>
      <c r="J143">
        <v>1</v>
      </c>
      <c r="K143">
        <v>0</v>
      </c>
    </row>
    <row r="144" spans="1:11" x14ac:dyDescent="0.25">
      <c r="A144">
        <v>2</v>
      </c>
      <c r="B144" s="3" t="s">
        <v>159</v>
      </c>
      <c r="C144">
        <v>0</v>
      </c>
      <c r="D144">
        <v>2</v>
      </c>
      <c r="E144" t="s">
        <v>163</v>
      </c>
      <c r="F144">
        <v>2</v>
      </c>
      <c r="H144">
        <v>3</v>
      </c>
      <c r="I144" s="43">
        <v>841</v>
      </c>
      <c r="J144">
        <v>3</v>
      </c>
      <c r="K144" s="43">
        <v>1189</v>
      </c>
    </row>
    <row r="145" spans="1:11" x14ac:dyDescent="0.25">
      <c r="A145">
        <v>3</v>
      </c>
      <c r="B145" t="s">
        <v>163</v>
      </c>
      <c r="C145">
        <v>0</v>
      </c>
      <c r="D145">
        <v>3</v>
      </c>
      <c r="E145" t="s">
        <v>162</v>
      </c>
      <c r="F145">
        <v>3</v>
      </c>
      <c r="H145">
        <v>4</v>
      </c>
      <c r="I145" s="43">
        <v>594</v>
      </c>
      <c r="J145">
        <v>4</v>
      </c>
      <c r="K145" s="43">
        <v>841</v>
      </c>
    </row>
    <row r="146" spans="1:11" x14ac:dyDescent="0.25">
      <c r="A146">
        <v>4</v>
      </c>
      <c r="B146" t="s">
        <v>162</v>
      </c>
      <c r="C146">
        <v>0</v>
      </c>
      <c r="D146">
        <v>4</v>
      </c>
      <c r="E146" t="s">
        <v>160</v>
      </c>
      <c r="F146">
        <v>4</v>
      </c>
      <c r="H146">
        <v>5</v>
      </c>
      <c r="I146" s="43">
        <v>431</v>
      </c>
      <c r="J146">
        <v>5</v>
      </c>
      <c r="K146" s="43">
        <v>609.6</v>
      </c>
    </row>
    <row r="147" spans="1:11" x14ac:dyDescent="0.25">
      <c r="A147">
        <v>5</v>
      </c>
      <c r="B147" t="s">
        <v>160</v>
      </c>
      <c r="C147">
        <v>0</v>
      </c>
      <c r="D147">
        <v>5</v>
      </c>
      <c r="E147" t="s">
        <v>164</v>
      </c>
      <c r="F147">
        <v>5</v>
      </c>
      <c r="H147">
        <v>6</v>
      </c>
      <c r="I147" s="43">
        <v>420</v>
      </c>
      <c r="J147">
        <v>6</v>
      </c>
      <c r="K147" s="43">
        <v>594</v>
      </c>
    </row>
    <row r="148" spans="1:11" x14ac:dyDescent="0.25">
      <c r="A148">
        <v>6</v>
      </c>
      <c r="B148" t="s">
        <v>164</v>
      </c>
      <c r="C148">
        <v>0</v>
      </c>
      <c r="D148">
        <v>6</v>
      </c>
      <c r="E148" t="s">
        <v>161</v>
      </c>
      <c r="F148">
        <v>6</v>
      </c>
      <c r="H148">
        <v>7</v>
      </c>
      <c r="I148" s="43">
        <v>329</v>
      </c>
      <c r="J148">
        <v>7</v>
      </c>
      <c r="K148" s="43">
        <v>483</v>
      </c>
    </row>
    <row r="149" spans="1:11" x14ac:dyDescent="0.25">
      <c r="A149">
        <v>7</v>
      </c>
      <c r="B149" t="s">
        <v>161</v>
      </c>
      <c r="C149">
        <v>0</v>
      </c>
      <c r="D149">
        <v>7</v>
      </c>
      <c r="E149" t="s">
        <v>165</v>
      </c>
      <c r="F149">
        <v>7</v>
      </c>
      <c r="H149">
        <v>8</v>
      </c>
      <c r="I149" s="43">
        <v>297</v>
      </c>
      <c r="J149">
        <v>8</v>
      </c>
      <c r="K149" s="43">
        <v>420</v>
      </c>
    </row>
    <row r="150" spans="1:11" x14ac:dyDescent="0.25">
      <c r="A150">
        <v>8</v>
      </c>
      <c r="B150" t="s">
        <v>165</v>
      </c>
      <c r="C150">
        <v>0</v>
      </c>
      <c r="D150">
        <v>8</v>
      </c>
      <c r="E150" t="s">
        <v>175</v>
      </c>
      <c r="F150">
        <v>8</v>
      </c>
      <c r="H150">
        <v>9</v>
      </c>
      <c r="I150" s="43">
        <v>1030</v>
      </c>
      <c r="J150">
        <v>9</v>
      </c>
      <c r="K150" s="43">
        <v>1456</v>
      </c>
    </row>
    <row r="151" spans="1:11" x14ac:dyDescent="0.25">
      <c r="A151">
        <v>9</v>
      </c>
      <c r="B151" t="s">
        <v>175</v>
      </c>
      <c r="C151">
        <v>0</v>
      </c>
      <c r="D151">
        <v>9</v>
      </c>
      <c r="E151" t="s">
        <v>166</v>
      </c>
      <c r="F151">
        <v>9</v>
      </c>
      <c r="H151">
        <v>10</v>
      </c>
      <c r="I151" s="43">
        <v>728</v>
      </c>
      <c r="J151">
        <v>10</v>
      </c>
      <c r="K151" s="43">
        <v>1030</v>
      </c>
    </row>
    <row r="152" spans="1:11" x14ac:dyDescent="0.25">
      <c r="A152">
        <v>10</v>
      </c>
      <c r="B152" t="s">
        <v>166</v>
      </c>
      <c r="C152">
        <v>0</v>
      </c>
      <c r="D152">
        <v>10</v>
      </c>
      <c r="E152" t="s">
        <v>167</v>
      </c>
      <c r="F152">
        <v>10</v>
      </c>
      <c r="H152">
        <v>11</v>
      </c>
      <c r="I152" s="43">
        <v>515</v>
      </c>
      <c r="J152">
        <v>11</v>
      </c>
      <c r="K152" s="43">
        <v>728</v>
      </c>
    </row>
    <row r="153" spans="1:11" x14ac:dyDescent="0.25">
      <c r="A153">
        <v>11</v>
      </c>
      <c r="B153" t="s">
        <v>167</v>
      </c>
      <c r="C153">
        <v>0</v>
      </c>
      <c r="D153">
        <v>11</v>
      </c>
      <c r="E153" t="s">
        <v>168</v>
      </c>
      <c r="F153">
        <v>11</v>
      </c>
      <c r="H153">
        <v>12</v>
      </c>
      <c r="I153" s="43">
        <v>364</v>
      </c>
      <c r="J153">
        <v>12</v>
      </c>
      <c r="K153" s="43">
        <v>515</v>
      </c>
    </row>
    <row r="154" spans="1:11" x14ac:dyDescent="0.25">
      <c r="A154">
        <v>12</v>
      </c>
      <c r="B154" t="s">
        <v>168</v>
      </c>
      <c r="C154">
        <v>0</v>
      </c>
      <c r="D154">
        <v>12</v>
      </c>
      <c r="E154" t="s">
        <v>169</v>
      </c>
      <c r="H154">
        <v>13</v>
      </c>
      <c r="I154" s="43">
        <v>257</v>
      </c>
      <c r="J154">
        <v>13</v>
      </c>
      <c r="K154" s="43">
        <v>364</v>
      </c>
    </row>
    <row r="155" spans="1:11" x14ac:dyDescent="0.25">
      <c r="A155">
        <v>13</v>
      </c>
      <c r="B155" t="s">
        <v>169</v>
      </c>
      <c r="C155">
        <v>0</v>
      </c>
      <c r="H155">
        <v>15</v>
      </c>
      <c r="I155" s="43">
        <v>508</v>
      </c>
      <c r="J155">
        <v>15</v>
      </c>
      <c r="K155" s="43">
        <v>762</v>
      </c>
    </row>
    <row r="156" spans="1:11" x14ac:dyDescent="0.25">
      <c r="A156">
        <v>14</v>
      </c>
      <c r="B156" s="3" t="s">
        <v>176</v>
      </c>
      <c r="C156">
        <v>0</v>
      </c>
      <c r="H156">
        <v>16</v>
      </c>
      <c r="I156" s="43">
        <v>508</v>
      </c>
      <c r="J156">
        <v>16</v>
      </c>
      <c r="K156" s="43">
        <v>609.6</v>
      </c>
    </row>
    <row r="157" spans="1:11" x14ac:dyDescent="0.25">
      <c r="A157">
        <v>15</v>
      </c>
      <c r="B157" t="s">
        <v>157</v>
      </c>
      <c r="C157">
        <v>0</v>
      </c>
      <c r="H157">
        <v>17</v>
      </c>
      <c r="I157" s="43">
        <v>457.2</v>
      </c>
      <c r="J157">
        <v>17</v>
      </c>
      <c r="K157" s="43">
        <v>558.79999999999995</v>
      </c>
    </row>
    <row r="158" spans="1:11" x14ac:dyDescent="0.25">
      <c r="A158">
        <v>16</v>
      </c>
      <c r="B158" t="s">
        <v>149</v>
      </c>
      <c r="C158">
        <v>0</v>
      </c>
      <c r="H158">
        <v>18</v>
      </c>
      <c r="I158" s="43">
        <v>406.4</v>
      </c>
      <c r="J158">
        <v>18</v>
      </c>
      <c r="K158" s="43">
        <v>508</v>
      </c>
    </row>
    <row r="159" spans="1:11" x14ac:dyDescent="0.25">
      <c r="A159">
        <v>17</v>
      </c>
      <c r="B159" t="s">
        <v>150</v>
      </c>
      <c r="C159">
        <v>0</v>
      </c>
      <c r="H159">
        <v>19</v>
      </c>
      <c r="I159" s="43">
        <v>355.6</v>
      </c>
      <c r="J159">
        <v>19</v>
      </c>
      <c r="K159" s="43">
        <v>431.8</v>
      </c>
    </row>
    <row r="160" spans="1:11" x14ac:dyDescent="0.25">
      <c r="A160">
        <v>18</v>
      </c>
      <c r="B160" t="s">
        <v>155</v>
      </c>
      <c r="C160">
        <v>0</v>
      </c>
      <c r="H160">
        <v>20</v>
      </c>
      <c r="I160" s="43">
        <v>330.2</v>
      </c>
      <c r="J160">
        <v>20</v>
      </c>
      <c r="K160" s="43">
        <v>558.79999999999995</v>
      </c>
    </row>
    <row r="161" spans="1:11" x14ac:dyDescent="0.25">
      <c r="A161">
        <v>19</v>
      </c>
      <c r="B161" t="s">
        <v>151</v>
      </c>
      <c r="C161">
        <v>0</v>
      </c>
      <c r="H161">
        <v>21</v>
      </c>
      <c r="I161" s="43">
        <v>304.8</v>
      </c>
      <c r="J161">
        <v>21</v>
      </c>
      <c r="K161" s="43">
        <v>406.4</v>
      </c>
    </row>
    <row r="162" spans="1:11" x14ac:dyDescent="0.25">
      <c r="A162">
        <v>20</v>
      </c>
      <c r="B162" t="s">
        <v>156</v>
      </c>
      <c r="C162">
        <v>0</v>
      </c>
      <c r="H162">
        <v>22</v>
      </c>
      <c r="I162" s="43">
        <v>254</v>
      </c>
      <c r="J162">
        <v>22</v>
      </c>
      <c r="K162" s="43">
        <v>304.8</v>
      </c>
    </row>
    <row r="163" spans="1:11" x14ac:dyDescent="0.25">
      <c r="A163">
        <v>21</v>
      </c>
      <c r="B163" t="s">
        <v>152</v>
      </c>
      <c r="C163">
        <v>0</v>
      </c>
      <c r="H163">
        <v>23</v>
      </c>
      <c r="I163" s="43">
        <v>254</v>
      </c>
      <c r="J163">
        <v>23</v>
      </c>
      <c r="K163" s="43">
        <v>381</v>
      </c>
    </row>
    <row r="164" spans="1:11" x14ac:dyDescent="0.25">
      <c r="A164">
        <v>22</v>
      </c>
      <c r="B164" t="s">
        <v>153</v>
      </c>
      <c r="C164">
        <v>0</v>
      </c>
      <c r="H164">
        <v>24</v>
      </c>
      <c r="I164" s="43">
        <v>203.2</v>
      </c>
      <c r="J164">
        <v>24</v>
      </c>
      <c r="K164" s="43">
        <v>254</v>
      </c>
    </row>
    <row r="165" spans="1:11" x14ac:dyDescent="0.25">
      <c r="A165">
        <v>23</v>
      </c>
      <c r="B165" t="s">
        <v>154</v>
      </c>
      <c r="C165">
        <v>0</v>
      </c>
    </row>
    <row r="166" spans="1:11" x14ac:dyDescent="0.25">
      <c r="A166">
        <v>24</v>
      </c>
      <c r="B166" t="s">
        <v>158</v>
      </c>
      <c r="C166">
        <v>0</v>
      </c>
    </row>
  </sheetData>
  <sheetProtection selectLockedCells="1"/>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7"/>
    <pageSetUpPr autoPageBreaks="0" fitToPage="1"/>
  </sheetPr>
  <dimension ref="A1:AP58"/>
  <sheetViews>
    <sheetView showGridLines="0" tabSelected="1" zoomScale="110" zoomScaleNormal="110" workbookViewId="0">
      <selection activeCell="C22" sqref="C22"/>
    </sheetView>
  </sheetViews>
  <sheetFormatPr defaultColWidth="9.140625" defaultRowHeight="21.75" x14ac:dyDescent="0.6"/>
  <cols>
    <col min="1" max="1" width="9.140625" style="93" customWidth="1"/>
    <col min="2" max="2" width="24.42578125" style="93" customWidth="1"/>
    <col min="3" max="3" width="23.5703125" style="93" customWidth="1"/>
    <col min="4" max="4" width="20.5703125" style="93" bestFit="1" customWidth="1"/>
    <col min="5" max="5" width="17.5703125" style="93" customWidth="1"/>
    <col min="6" max="6" width="16.85546875" style="93" customWidth="1"/>
    <col min="7" max="7" width="18.42578125" style="93" customWidth="1"/>
    <col min="8" max="8" width="9.85546875" style="93" customWidth="1"/>
    <col min="9" max="9" width="13.7109375" style="93" hidden="1" customWidth="1"/>
    <col min="10" max="10" width="33.7109375" style="93" hidden="1" customWidth="1"/>
    <col min="11" max="11" width="10.7109375" style="93" hidden="1" customWidth="1"/>
    <col min="12" max="12" width="13.7109375" style="93" hidden="1" customWidth="1"/>
    <col min="13" max="13" width="33.7109375" style="93" hidden="1" customWidth="1"/>
    <col min="14" max="14" width="1.28515625" style="93" hidden="1" customWidth="1"/>
    <col min="15" max="15" width="1.85546875" style="93" hidden="1" customWidth="1"/>
    <col min="16" max="16" width="9.140625" style="93"/>
    <col min="17" max="17" width="12.85546875" style="93" customWidth="1"/>
    <col min="18" max="18" width="29.42578125" style="93" customWidth="1"/>
    <col min="19" max="19" width="6.140625" style="93" customWidth="1"/>
    <col min="20" max="20" width="13.7109375" style="93" customWidth="1"/>
    <col min="21" max="21" width="33.7109375" style="93" customWidth="1"/>
    <col min="22" max="22" width="7.5703125" style="93" customWidth="1"/>
    <col min="23" max="24" width="9.140625" style="93"/>
    <col min="25" max="25" width="5.7109375" style="93" customWidth="1"/>
    <col min="26" max="16384" width="9.140625" style="93"/>
  </cols>
  <sheetData>
    <row r="1" spans="1:42" ht="15" customHeight="1" x14ac:dyDescent="0.6">
      <c r="A1" s="94"/>
      <c r="B1" s="95"/>
      <c r="C1" s="95"/>
      <c r="D1" s="95"/>
      <c r="E1" s="95"/>
      <c r="F1" s="95"/>
      <c r="G1" s="95"/>
      <c r="H1" s="95"/>
      <c r="I1" s="95"/>
      <c r="J1" s="95"/>
      <c r="K1" s="95"/>
      <c r="L1" s="95"/>
      <c r="M1" s="95"/>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row>
    <row r="2" spans="1:42" x14ac:dyDescent="0.6">
      <c r="A2" s="95"/>
      <c r="B2" s="95"/>
      <c r="C2" s="95"/>
      <c r="D2" s="95"/>
      <c r="E2" s="95"/>
      <c r="F2" s="95"/>
      <c r="G2" s="95"/>
      <c r="H2" s="95"/>
      <c r="I2" s="95"/>
      <c r="J2" s="95"/>
      <c r="K2" s="95"/>
      <c r="L2" s="95"/>
      <c r="M2" s="95"/>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row>
    <row r="3" spans="1:42" ht="13.5" customHeight="1" x14ac:dyDescent="0.6">
      <c r="A3" s="97"/>
      <c r="B3" s="97"/>
      <c r="C3" s="97"/>
      <c r="D3" s="97"/>
      <c r="E3" s="97"/>
      <c r="F3" s="97"/>
      <c r="G3" s="97"/>
      <c r="H3" s="97"/>
      <c r="I3" s="97"/>
      <c r="J3" s="97"/>
      <c r="K3" s="97"/>
      <c r="L3" s="97"/>
      <c r="M3" s="97"/>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row>
    <row r="4" spans="1:42" ht="15" customHeight="1" x14ac:dyDescent="0.6">
      <c r="A4" s="97"/>
      <c r="B4" s="97"/>
      <c r="C4" s="97"/>
      <c r="D4" s="97"/>
      <c r="E4" s="97"/>
      <c r="F4" s="97"/>
      <c r="G4" s="97"/>
      <c r="H4" s="97"/>
      <c r="I4" s="97"/>
      <c r="J4" s="97"/>
      <c r="K4" s="97"/>
      <c r="L4" s="97"/>
      <c r="M4" s="97"/>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row>
    <row r="5" spans="1:42" ht="15" customHeight="1" x14ac:dyDescent="0.8">
      <c r="B5" s="98"/>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row>
    <row r="6" spans="1:42" ht="15" customHeight="1" x14ac:dyDescent="0.8">
      <c r="B6" s="98"/>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row>
    <row r="7" spans="1:42" ht="15" customHeight="1" thickBot="1" x14ac:dyDescent="0.65">
      <c r="B7" s="99" t="s">
        <v>117</v>
      </c>
      <c r="C7" s="99" t="s">
        <v>118</v>
      </c>
      <c r="D7" s="99" t="s">
        <v>119</v>
      </c>
      <c r="I7" s="100"/>
      <c r="J7" s="101" t="s">
        <v>6</v>
      </c>
      <c r="K7" s="102"/>
      <c r="L7" s="100"/>
      <c r="M7" s="103" t="s">
        <v>25</v>
      </c>
      <c r="N7" s="103"/>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row>
    <row r="8" spans="1:42" ht="15" customHeight="1" x14ac:dyDescent="0.8">
      <c r="B8" s="98"/>
      <c r="I8" s="100" t="s">
        <v>4</v>
      </c>
      <c r="J8" s="104" t="s">
        <v>120</v>
      </c>
      <c r="K8" s="105" t="s">
        <v>3</v>
      </c>
      <c r="L8" s="100" t="s">
        <v>7</v>
      </c>
      <c r="M8" s="104" t="s">
        <v>170</v>
      </c>
      <c r="N8" s="105"/>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row>
    <row r="9" spans="1:42" ht="15" customHeight="1" thickBot="1" x14ac:dyDescent="0.85">
      <c r="B9" s="98"/>
      <c r="I9" s="106">
        <v>14</v>
      </c>
      <c r="J9" s="107" t="str">
        <f>VLOOKUP(I9,'Back-End'!$A$119:$C$138,2,FALSE)</f>
        <v>914.4mm (36")</v>
      </c>
      <c r="K9" s="108">
        <f>VLOOKUP(I9,'Back-End'!$A$119:$C$138,3,FALSE)</f>
        <v>0</v>
      </c>
      <c r="L9" s="106">
        <f>I9+K9</f>
        <v>14</v>
      </c>
      <c r="M9" s="109">
        <f>VLOOKUP($L9,'Back-End'!$H$119:$I$138,2,FALSE)</f>
        <v>1030</v>
      </c>
      <c r="N9" s="110"/>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row>
    <row r="10" spans="1:42" ht="15" customHeight="1" thickBot="1" x14ac:dyDescent="0.85">
      <c r="B10" s="98"/>
      <c r="I10" s="100"/>
      <c r="J10" s="101" t="s">
        <v>6</v>
      </c>
      <c r="K10" s="102"/>
      <c r="L10" s="100"/>
      <c r="M10" s="103" t="s">
        <v>25</v>
      </c>
      <c r="N10" s="103"/>
      <c r="P10" s="96"/>
      <c r="Q10" s="111"/>
      <c r="R10" s="112"/>
      <c r="S10" s="113"/>
      <c r="T10" s="111"/>
      <c r="U10" s="112"/>
      <c r="V10" s="112"/>
      <c r="W10" s="96"/>
      <c r="X10" s="96"/>
      <c r="Y10" s="96"/>
      <c r="Z10" s="96"/>
      <c r="AA10" s="96"/>
      <c r="AB10" s="96"/>
      <c r="AC10" s="96"/>
      <c r="AD10" s="96"/>
      <c r="AE10" s="96"/>
      <c r="AF10" s="96"/>
      <c r="AG10" s="96"/>
      <c r="AH10" s="96"/>
      <c r="AI10" s="96"/>
      <c r="AJ10" s="96"/>
      <c r="AK10" s="96"/>
      <c r="AL10" s="96"/>
      <c r="AM10" s="96"/>
      <c r="AN10" s="96"/>
      <c r="AO10" s="96"/>
      <c r="AP10" s="96"/>
    </row>
    <row r="11" spans="1:42" ht="15" customHeight="1" x14ac:dyDescent="0.8">
      <c r="B11" s="98"/>
      <c r="I11" s="100" t="s">
        <v>4</v>
      </c>
      <c r="J11" s="104" t="s">
        <v>148</v>
      </c>
      <c r="K11" s="105" t="s">
        <v>3</v>
      </c>
      <c r="L11" s="100" t="s">
        <v>7</v>
      </c>
      <c r="M11" s="104" t="s">
        <v>170</v>
      </c>
      <c r="N11" s="105" t="s">
        <v>171</v>
      </c>
      <c r="P11" s="96"/>
      <c r="Q11" s="111"/>
      <c r="R11" s="111"/>
      <c r="S11" s="111"/>
      <c r="T11" s="111"/>
      <c r="U11" s="111"/>
      <c r="V11" s="111"/>
      <c r="W11" s="96"/>
      <c r="X11" s="96"/>
      <c r="Y11" s="96"/>
      <c r="Z11" s="96"/>
      <c r="AA11" s="96"/>
      <c r="AB11" s="96"/>
      <c r="AC11" s="96"/>
      <c r="AD11" s="96"/>
      <c r="AE11" s="96"/>
      <c r="AF11" s="96"/>
      <c r="AG11" s="96"/>
      <c r="AH11" s="96"/>
      <c r="AI11" s="96"/>
      <c r="AJ11" s="96"/>
      <c r="AK11" s="96"/>
      <c r="AL11" s="96"/>
      <c r="AM11" s="96"/>
      <c r="AN11" s="96"/>
      <c r="AO11" s="96"/>
      <c r="AP11" s="96"/>
    </row>
    <row r="12" spans="1:42" s="114" customFormat="1" ht="15" customHeight="1" thickBot="1" x14ac:dyDescent="0.65">
      <c r="I12" s="106">
        <v>3</v>
      </c>
      <c r="J12" s="107" t="str">
        <f>VLOOKUP(I12,'Back-End'!$A$143:$C$163,2,FALSE)</f>
        <v>A0   (841.0 x 1189.0)</v>
      </c>
      <c r="K12" s="108">
        <f>VLOOKUP(I12,'Back-End'!$A$143:$C$1166,3,FALSE)</f>
        <v>0</v>
      </c>
      <c r="L12" s="106">
        <f>I12+K12</f>
        <v>3</v>
      </c>
      <c r="M12" s="109">
        <f>VLOOKUP($L12,'Back-End'!$H$144:$I$164,2,FALSE)</f>
        <v>841</v>
      </c>
      <c r="N12" s="109">
        <f>VLOOKUP($L12,'Back-End'!$J$144:$K$164,2,FALSE)</f>
        <v>1189</v>
      </c>
      <c r="P12" s="115"/>
      <c r="Q12" s="116"/>
      <c r="R12" s="116"/>
      <c r="S12" s="116"/>
      <c r="T12" s="116"/>
      <c r="U12" s="117"/>
      <c r="V12" s="117"/>
      <c r="W12" s="115"/>
      <c r="X12" s="115"/>
      <c r="Y12" s="115"/>
      <c r="Z12" s="115"/>
      <c r="AA12" s="115"/>
      <c r="AB12" s="115"/>
      <c r="AC12" s="115"/>
      <c r="AD12" s="115"/>
      <c r="AE12" s="115"/>
      <c r="AF12" s="115"/>
      <c r="AG12" s="115"/>
      <c r="AH12" s="115"/>
      <c r="AI12" s="115"/>
      <c r="AJ12" s="115"/>
      <c r="AK12" s="115"/>
      <c r="AL12" s="115"/>
      <c r="AM12" s="115"/>
      <c r="AN12" s="115"/>
      <c r="AO12" s="115"/>
      <c r="AP12" s="115"/>
    </row>
    <row r="13" spans="1:42" ht="15" customHeight="1" thickBot="1" x14ac:dyDescent="0.65">
      <c r="B13" s="147" t="s">
        <v>72</v>
      </c>
      <c r="C13" s="147" t="s">
        <v>104</v>
      </c>
      <c r="D13" s="147" t="s">
        <v>182</v>
      </c>
      <c r="I13" s="100"/>
      <c r="J13" s="101" t="s">
        <v>6</v>
      </c>
      <c r="K13" s="102"/>
      <c r="L13" s="100"/>
      <c r="M13" s="103" t="s">
        <v>25</v>
      </c>
      <c r="N13" s="103"/>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row>
    <row r="14" spans="1:42" ht="15" customHeight="1" x14ac:dyDescent="0.85">
      <c r="B14" s="119"/>
      <c r="I14" s="100" t="s">
        <v>4</v>
      </c>
      <c r="J14" s="104" t="s">
        <v>147</v>
      </c>
      <c r="K14" s="105" t="s">
        <v>3</v>
      </c>
      <c r="L14" s="100" t="s">
        <v>7</v>
      </c>
      <c r="M14" s="104" t="s">
        <v>172</v>
      </c>
      <c r="N14" s="105"/>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row>
    <row r="15" spans="1:42" ht="18" customHeight="1" thickBot="1" x14ac:dyDescent="0.65">
      <c r="B15" s="130" t="s">
        <v>24</v>
      </c>
      <c r="C15" s="132"/>
      <c r="D15" s="133"/>
      <c r="E15" s="133"/>
      <c r="F15" s="133"/>
      <c r="G15" s="133"/>
      <c r="I15" s="106">
        <v>5</v>
      </c>
      <c r="J15" s="107" t="str">
        <f>VLOOKUP(I15,'Back-End'!$D$119:$F$127,2,FALSE)</f>
        <v>25 metres</v>
      </c>
      <c r="K15" s="108">
        <f>VLOOKUP(I15,'Back-End'!$D$119:$F$127,3,FALSE)</f>
        <v>5</v>
      </c>
      <c r="L15" s="106">
        <f>I15+K15</f>
        <v>10</v>
      </c>
      <c r="M15" s="109">
        <f>VLOOKUP($L15,'Back-End'!$J$120:$K$127,2,FALSE)</f>
        <v>25</v>
      </c>
      <c r="N15" s="110"/>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6" spans="1:42" ht="15" customHeight="1" x14ac:dyDescent="0.65">
      <c r="B16" s="130" t="s">
        <v>17</v>
      </c>
      <c r="C16" s="132"/>
      <c r="D16" s="131"/>
      <c r="E16" s="131"/>
      <c r="F16" s="131"/>
      <c r="G16" s="133"/>
      <c r="J16" s="121"/>
      <c r="K16" s="121"/>
      <c r="L16" s="121"/>
      <c r="M16" s="121"/>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row>
    <row r="17" spans="1:42" s="122" customFormat="1" ht="15" customHeight="1" thickBot="1" x14ac:dyDescent="0.7">
      <c r="A17" s="121"/>
      <c r="B17" s="131" t="s">
        <v>29</v>
      </c>
      <c r="C17" s="131"/>
      <c r="D17" s="131"/>
      <c r="E17" s="131"/>
      <c r="F17" s="131"/>
      <c r="G17" s="134"/>
      <c r="I17" s="100"/>
      <c r="J17" s="101" t="s">
        <v>6</v>
      </c>
      <c r="K17" s="102"/>
      <c r="L17" s="93"/>
      <c r="M17" s="9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row>
    <row r="18" spans="1:42" ht="15" customHeight="1" x14ac:dyDescent="0.6">
      <c r="B18" s="130" t="s">
        <v>111</v>
      </c>
      <c r="C18" s="135">
        <v>0</v>
      </c>
      <c r="D18" s="131"/>
      <c r="E18" s="131" t="s">
        <v>26</v>
      </c>
      <c r="F18" s="136"/>
      <c r="G18" s="131"/>
      <c r="I18" s="100" t="s">
        <v>4</v>
      </c>
      <c r="J18" s="104" t="s">
        <v>5</v>
      </c>
      <c r="K18" s="105" t="s">
        <v>3</v>
      </c>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row>
    <row r="19" spans="1:42" ht="15.75" customHeight="1" thickBot="1" x14ac:dyDescent="0.65">
      <c r="B19" s="130" t="s">
        <v>112</v>
      </c>
      <c r="C19" s="135">
        <v>0</v>
      </c>
      <c r="D19" s="131"/>
      <c r="E19" s="137"/>
      <c r="F19" s="132" t="s">
        <v>19</v>
      </c>
      <c r="G19" s="132" t="s">
        <v>20</v>
      </c>
      <c r="I19" s="106">
        <v>3</v>
      </c>
      <c r="J19" s="107" t="str">
        <f>VLOOKUP(I19,'Back-End'!$A$3:$C$5,2,FALSE)</f>
        <v>Flower</v>
      </c>
      <c r="K19" s="108">
        <f>VLOOKUP(I19,'Back-End'!$A$3:$C$5,3,FALSE)</f>
        <v>30</v>
      </c>
      <c r="L19" s="122"/>
      <c r="M19" s="122"/>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row>
    <row r="20" spans="1:42" ht="15.75" customHeight="1" thickBot="1" x14ac:dyDescent="0.65">
      <c r="B20" s="130" t="s">
        <v>18</v>
      </c>
      <c r="C20" s="209">
        <v>0</v>
      </c>
      <c r="D20" s="131"/>
      <c r="E20" s="210" t="s">
        <v>21</v>
      </c>
      <c r="F20" s="211">
        <f>IFERROR((K26*((M12/1000*N12/1000))*(C22/330)),"-")</f>
        <v>15.528040029567997</v>
      </c>
      <c r="G20" s="211">
        <f>IFERROR((K26*((M12/1000*N12/1000))*(C23/700)),"-")</f>
        <v>15.528040029567997</v>
      </c>
      <c r="I20" s="100"/>
      <c r="J20" s="101" t="s">
        <v>6</v>
      </c>
      <c r="K20" s="101"/>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row>
    <row r="21" spans="1:42" s="122" customFormat="1" ht="15" customHeight="1" x14ac:dyDescent="0.6">
      <c r="B21" s="131" t="s">
        <v>28</v>
      </c>
      <c r="C21" s="138"/>
      <c r="D21" s="131"/>
      <c r="E21" s="210" t="s">
        <v>22</v>
      </c>
      <c r="F21" s="211">
        <f>IFERROR(((M12/1000*N12/1000))*(F24),"-")</f>
        <v>0</v>
      </c>
      <c r="G21" s="211">
        <f>IFERROR(((M12/1000*N12/1000))*(F24),"-")</f>
        <v>0</v>
      </c>
      <c r="I21" s="100" t="s">
        <v>4</v>
      </c>
      <c r="J21" s="104" t="s">
        <v>5</v>
      </c>
      <c r="K21" s="105" t="s">
        <v>3</v>
      </c>
      <c r="L21" s="93"/>
      <c r="M21" s="9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row>
    <row r="22" spans="1:42" ht="15" customHeight="1" thickBot="1" x14ac:dyDescent="0.65">
      <c r="B22" s="130" t="s">
        <v>15</v>
      </c>
      <c r="C22" s="209">
        <v>330</v>
      </c>
      <c r="D22" s="131"/>
      <c r="E22" s="215" t="s">
        <v>23</v>
      </c>
      <c r="F22" s="216">
        <f>IFERROR(F20+F21,"-")</f>
        <v>15.528040029567997</v>
      </c>
      <c r="G22" s="216">
        <f>IFERROR(G20+G21,"-")</f>
        <v>15.528040029567997</v>
      </c>
      <c r="I22" s="100">
        <v>5</v>
      </c>
      <c r="J22" s="124" t="str">
        <f>VLOOKUP($I22,'Back-End'!$D$3:$F$7,2,FALSE)</f>
        <v>Fine Art Photo Rag</v>
      </c>
      <c r="K22" s="125">
        <f>VLOOKUP($I22,'Back-End'!$D$3:$F$7,3,FALSE)</f>
        <v>5</v>
      </c>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row>
    <row r="23" spans="1:42" ht="15" customHeight="1" x14ac:dyDescent="0.6">
      <c r="B23" s="130" t="s">
        <v>16</v>
      </c>
      <c r="C23" s="209">
        <v>700</v>
      </c>
      <c r="D23" s="131"/>
      <c r="E23" s="210" t="s">
        <v>113</v>
      </c>
      <c r="F23" s="212">
        <f>IFERROR(F20/((M12/1000*N12/1000)),"-")</f>
        <v>15.528831999999998</v>
      </c>
      <c r="G23" s="212">
        <f>IFERROR(G20/((M12/1000*N12/1000)),"-")</f>
        <v>15.528831999999998</v>
      </c>
      <c r="I23" s="106"/>
      <c r="J23" s="106"/>
      <c r="K23" s="106"/>
      <c r="L23" s="122"/>
      <c r="M23" s="122"/>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row>
    <row r="24" spans="1:42" s="122" customFormat="1" ht="15" customHeight="1" thickBot="1" x14ac:dyDescent="0.7">
      <c r="B24" s="131" t="s">
        <v>200</v>
      </c>
      <c r="C24" s="132"/>
      <c r="D24" s="139"/>
      <c r="E24" s="213" t="s">
        <v>114</v>
      </c>
      <c r="F24" s="211">
        <f>IFERROR(C20/((M15*M9/1000)),"-")</f>
        <v>0</v>
      </c>
      <c r="G24" s="211">
        <f>IFERROR(C20/((M15*M9/1000)),"-")</f>
        <v>0</v>
      </c>
      <c r="H24" s="121"/>
      <c r="I24" s="100"/>
      <c r="J24" s="103" t="s">
        <v>25</v>
      </c>
      <c r="K24" s="103"/>
      <c r="L24" s="93"/>
      <c r="M24" s="9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row>
    <row r="25" spans="1:42" ht="15" customHeight="1" x14ac:dyDescent="0.65">
      <c r="B25" s="133"/>
      <c r="C25" s="133"/>
      <c r="D25" s="131"/>
      <c r="E25" s="215" t="s">
        <v>115</v>
      </c>
      <c r="F25" s="217">
        <f>IFERROR(F23+F24,"-")</f>
        <v>15.528831999999998</v>
      </c>
      <c r="G25" s="217">
        <f>IFERROR(G23+G24,"-")</f>
        <v>15.528831999999998</v>
      </c>
      <c r="H25" s="121"/>
      <c r="I25" s="100" t="s">
        <v>7</v>
      </c>
      <c r="J25" s="104" t="s">
        <v>13</v>
      </c>
      <c r="K25" s="105" t="s">
        <v>14</v>
      </c>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row>
    <row r="26" spans="1:42" ht="15" customHeight="1" thickBot="1" x14ac:dyDescent="0.7">
      <c r="B26" s="140" t="s">
        <v>180</v>
      </c>
      <c r="C26" s="141" t="s">
        <v>181</v>
      </c>
      <c r="D26" s="131"/>
      <c r="E26" s="210" t="s">
        <v>199</v>
      </c>
      <c r="F26" s="214">
        <f>IFERROR((330*12)/(K26)/(M12/1000*N12/1000),"-")</f>
        <v>255.02252650427837</v>
      </c>
      <c r="G26" s="214">
        <f>IFERROR((700*12)/(K26)/(M12/1000*N12/1000),"-")</f>
        <v>540.95687440301469</v>
      </c>
      <c r="H26" s="121"/>
      <c r="I26" s="106">
        <f>K19+K22</f>
        <v>35</v>
      </c>
      <c r="J26" s="107" t="str">
        <f>VLOOKUP($I26,'Back-End'!$H$3:$K$17,2,FALSE)</f>
        <v>Flower-Photo Rag</v>
      </c>
      <c r="K26" s="108">
        <f>VLOOKUP($I26,'Back-End'!$H$3:$K$17,3,FALSE)</f>
        <v>15.528831999999998</v>
      </c>
      <c r="L26" s="122"/>
      <c r="M26" s="122"/>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row>
    <row r="27" spans="1:42" ht="20.25" customHeight="1" x14ac:dyDescent="0.65">
      <c r="B27" s="142">
        <f>IFERROR(M12,"-")</f>
        <v>841</v>
      </c>
      <c r="C27" s="142">
        <f>IFERROR(N12,"-")</f>
        <v>1189</v>
      </c>
      <c r="D27" s="131"/>
      <c r="E27" s="131"/>
      <c r="F27" s="131"/>
      <c r="G27" s="131"/>
      <c r="H27" s="121"/>
      <c r="I27" s="121"/>
      <c r="J27" s="121"/>
      <c r="K27" s="121"/>
      <c r="L27" s="121"/>
      <c r="M27" s="121"/>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row>
    <row r="28" spans="1:42" ht="23.25" x14ac:dyDescent="0.65">
      <c r="B28" s="143"/>
      <c r="C28" s="143"/>
      <c r="D28" s="143"/>
      <c r="E28" s="144"/>
      <c r="F28" s="144"/>
      <c r="G28" s="144"/>
      <c r="H28" s="121"/>
      <c r="I28" s="121"/>
      <c r="J28" s="121"/>
      <c r="K28" s="121"/>
      <c r="L28" s="121"/>
      <c r="M28" s="121"/>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row>
    <row r="29" spans="1:42" ht="42" customHeight="1" x14ac:dyDescent="0.65">
      <c r="C29" s="234"/>
      <c r="D29" s="234"/>
      <c r="E29" s="234"/>
      <c r="F29" s="234"/>
      <c r="G29" s="120"/>
      <c r="H29" s="120"/>
      <c r="I29" s="120"/>
      <c r="J29" s="120"/>
      <c r="K29" s="120"/>
      <c r="L29" s="120"/>
      <c r="M29" s="120"/>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row>
    <row r="30" spans="1:42" ht="12" customHeight="1" x14ac:dyDescent="0.65">
      <c r="C30" s="234"/>
      <c r="D30" s="234"/>
      <c r="E30" s="234"/>
      <c r="F30" s="234"/>
      <c r="G30" s="120"/>
      <c r="H30" s="120"/>
      <c r="I30" s="120"/>
      <c r="J30" s="120"/>
      <c r="K30" s="120"/>
      <c r="L30" s="120"/>
      <c r="M30" s="120"/>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row>
    <row r="31" spans="1:42" ht="23.25" x14ac:dyDescent="0.65">
      <c r="A31" s="96"/>
      <c r="B31" s="96"/>
      <c r="C31" s="96"/>
      <c r="D31" s="96"/>
      <c r="E31" s="126"/>
      <c r="F31" s="126"/>
      <c r="G31" s="126"/>
      <c r="H31" s="126"/>
      <c r="I31" s="127"/>
      <c r="J31" s="127"/>
      <c r="K31" s="127"/>
      <c r="L31" s="127"/>
      <c r="M31" s="127"/>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row>
    <row r="32" spans="1:42" ht="23.25" x14ac:dyDescent="0.65">
      <c r="A32" s="96"/>
      <c r="B32" s="96"/>
      <c r="C32" s="96"/>
      <c r="D32" s="96"/>
      <c r="E32" s="126"/>
      <c r="F32" s="126"/>
      <c r="G32" s="126"/>
      <c r="H32" s="126"/>
      <c r="I32" s="126"/>
      <c r="J32" s="126"/>
      <c r="K32" s="126"/>
      <c r="L32" s="126"/>
      <c r="M32" s="12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row>
    <row r="33" spans="1:42" ht="23.25" x14ac:dyDescent="0.65">
      <c r="A33" s="96"/>
      <c r="B33" s="96"/>
      <c r="C33" s="96"/>
      <c r="D33" s="96"/>
      <c r="E33" s="126"/>
      <c r="F33" s="126"/>
      <c r="G33" s="126"/>
      <c r="H33" s="126"/>
      <c r="I33" s="126"/>
      <c r="J33" s="126"/>
      <c r="K33" s="126"/>
      <c r="L33" s="126"/>
      <c r="M33" s="12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row>
    <row r="34" spans="1:42" ht="23.25" x14ac:dyDescent="0.65">
      <c r="A34" s="96"/>
      <c r="B34" s="96"/>
      <c r="C34" s="96"/>
      <c r="D34" s="96"/>
      <c r="E34" s="126"/>
      <c r="F34" s="126"/>
      <c r="G34" s="126"/>
      <c r="H34" s="126"/>
      <c r="I34" s="126"/>
      <c r="J34" s="126"/>
      <c r="K34" s="126"/>
      <c r="L34" s="126"/>
      <c r="M34" s="12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row>
    <row r="35" spans="1:42" ht="23.25" x14ac:dyDescent="0.65">
      <c r="A35" s="96"/>
      <c r="B35" s="96"/>
      <c r="C35" s="96"/>
      <c r="D35" s="96"/>
      <c r="E35" s="126"/>
      <c r="F35" s="126"/>
      <c r="G35" s="126"/>
      <c r="H35" s="126"/>
      <c r="I35" s="126"/>
      <c r="J35" s="126"/>
      <c r="K35" s="126"/>
      <c r="L35" s="126"/>
      <c r="M35" s="126"/>
      <c r="N35" s="96"/>
      <c r="O35" s="96"/>
      <c r="P35" s="96"/>
      <c r="Q35" s="96"/>
      <c r="R35" s="96"/>
      <c r="S35" s="96"/>
      <c r="T35" s="96"/>
      <c r="U35" s="96"/>
      <c r="V35" s="96"/>
      <c r="W35" s="96"/>
      <c r="X35" s="96"/>
      <c r="Y35" s="96"/>
      <c r="Z35" s="96"/>
      <c r="AA35" s="96"/>
      <c r="AB35" s="96"/>
    </row>
    <row r="36" spans="1:42" ht="23.25" x14ac:dyDescent="0.65">
      <c r="A36" s="96"/>
      <c r="B36" s="96"/>
      <c r="C36" s="96"/>
      <c r="D36" s="96"/>
      <c r="E36" s="126"/>
      <c r="F36" s="126"/>
      <c r="G36" s="126"/>
      <c r="H36" s="126"/>
      <c r="I36" s="126"/>
      <c r="J36" s="126"/>
      <c r="K36" s="126"/>
      <c r="L36" s="126"/>
      <c r="M36" s="126"/>
      <c r="N36" s="96"/>
      <c r="O36" s="96"/>
      <c r="P36" s="96"/>
      <c r="Q36" s="96"/>
      <c r="R36" s="96"/>
      <c r="S36" s="96"/>
      <c r="T36" s="96"/>
      <c r="U36" s="96"/>
      <c r="V36" s="96"/>
      <c r="W36" s="96"/>
      <c r="X36" s="96"/>
      <c r="Y36" s="96"/>
      <c r="Z36" s="96"/>
      <c r="AA36" s="96"/>
      <c r="AB36" s="96"/>
    </row>
    <row r="37" spans="1:42" ht="23.25" x14ac:dyDescent="0.65">
      <c r="A37" s="96"/>
      <c r="B37" s="96"/>
      <c r="C37" s="96"/>
      <c r="D37" s="96"/>
      <c r="E37" s="128"/>
      <c r="F37" s="128"/>
      <c r="G37" s="128"/>
      <c r="H37" s="128"/>
      <c r="I37" s="128"/>
      <c r="J37" s="128"/>
      <c r="K37" s="128"/>
      <c r="L37" s="128"/>
      <c r="M37" s="128"/>
      <c r="N37" s="96"/>
      <c r="O37" s="96"/>
      <c r="P37" s="96"/>
      <c r="Q37" s="96"/>
      <c r="R37" s="96"/>
      <c r="S37" s="96"/>
      <c r="T37" s="96"/>
      <c r="U37" s="96"/>
      <c r="V37" s="96"/>
      <c r="W37" s="96"/>
      <c r="X37" s="96"/>
      <c r="Y37" s="96"/>
      <c r="Z37" s="96"/>
      <c r="AA37" s="96"/>
      <c r="AB37" s="96"/>
    </row>
    <row r="38" spans="1:42" x14ac:dyDescent="0.6">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42" x14ac:dyDescent="0.6">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row>
    <row r="40" spans="1:42" x14ac:dyDescent="0.6">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42" x14ac:dyDescent="0.6">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row>
    <row r="42" spans="1:42" x14ac:dyDescent="0.6">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row>
    <row r="43" spans="1:42" x14ac:dyDescent="0.6">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96"/>
      <c r="AA43" s="96"/>
      <c r="AB43" s="96"/>
    </row>
    <row r="44" spans="1:42" x14ac:dyDescent="0.6">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row>
    <row r="45" spans="1:42" x14ac:dyDescent="0.6">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row>
    <row r="46" spans="1:42" x14ac:dyDescent="0.6">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row>
    <row r="47" spans="1:42" x14ac:dyDescent="0.6">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row>
    <row r="48" spans="1:42" x14ac:dyDescent="0.6">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row>
    <row r="49" spans="1:25" x14ac:dyDescent="0.6">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1:25" x14ac:dyDescent="0.6">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row>
    <row r="51" spans="1:25" x14ac:dyDescent="0.6">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row>
    <row r="52" spans="1:25" x14ac:dyDescent="0.6">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1:25" x14ac:dyDescent="0.6">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row>
    <row r="54" spans="1:25" x14ac:dyDescent="0.6">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row>
    <row r="55" spans="1:25" x14ac:dyDescent="0.6">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row>
    <row r="56" spans="1:25" x14ac:dyDescent="0.6">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row>
    <row r="57" spans="1:25" x14ac:dyDescent="0.6">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1:25" x14ac:dyDescent="0.6">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row>
  </sheetData>
  <sheetProtection algorithmName="SHA-512" hashValue="7+w9i1J/DdS0oslZ5jkfknYIebuHuS0IB/NUWVjCcjjVeTJps4Mh13xUnLY445mUeMJ+JKz3rjRsNE9phfvuxA==" saltValue="8M67Zh6EAJH4gRfKMK8m/Q==" spinCount="100000" sheet="1" objects="1" selectLockedCells="1"/>
  <mergeCells count="1">
    <mergeCell ref="C29:F30"/>
  </mergeCells>
  <phoneticPr fontId="5" type="noConversion"/>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12297" r:id="rId5" name="Drop Down 9">
              <controlPr locked="0" defaultSize="0" autoLine="0" autoPict="0">
                <anchor moveWithCells="1">
                  <from>
                    <xdr:col>2</xdr:col>
                    <xdr:colOff>0</xdr:colOff>
                    <xdr:row>14</xdr:row>
                    <xdr:rowOff>0</xdr:rowOff>
                  </from>
                  <to>
                    <xdr:col>3</xdr:col>
                    <xdr:colOff>466725</xdr:colOff>
                    <xdr:row>14</xdr:row>
                    <xdr:rowOff>209550</xdr:rowOff>
                  </to>
                </anchor>
              </controlPr>
            </control>
          </mc:Choice>
        </mc:AlternateContent>
        <mc:AlternateContent xmlns:mc="http://schemas.openxmlformats.org/markup-compatibility/2006">
          <mc:Choice Requires="x14">
            <control shapeId="12298" r:id="rId6" name="Drop Down 10">
              <controlPr locked="0" defaultSize="0" autoLine="0" autoPict="0">
                <anchor moveWithCells="1">
                  <from>
                    <xdr:col>2</xdr:col>
                    <xdr:colOff>0</xdr:colOff>
                    <xdr:row>15</xdr:row>
                    <xdr:rowOff>0</xdr:rowOff>
                  </from>
                  <to>
                    <xdr:col>3</xdr:col>
                    <xdr:colOff>466725</xdr:colOff>
                    <xdr:row>16</xdr:row>
                    <xdr:rowOff>9525</xdr:rowOff>
                  </to>
                </anchor>
              </controlPr>
            </control>
          </mc:Choice>
        </mc:AlternateContent>
        <mc:AlternateContent xmlns:mc="http://schemas.openxmlformats.org/markup-compatibility/2006">
          <mc:Choice Requires="x14">
            <control shapeId="12311" r:id="rId7" name="Drop Down 23">
              <controlPr defaultSize="0" autoLine="0" autoPict="0">
                <anchor moveWithCells="1">
                  <from>
                    <xdr:col>1</xdr:col>
                    <xdr:colOff>0</xdr:colOff>
                    <xdr:row>23</xdr:row>
                    <xdr:rowOff>161925</xdr:rowOff>
                  </from>
                  <to>
                    <xdr:col>2</xdr:col>
                    <xdr:colOff>0</xdr:colOff>
                    <xdr:row>24</xdr:row>
                    <xdr:rowOff>171450</xdr:rowOff>
                  </to>
                </anchor>
              </controlPr>
            </control>
          </mc:Choice>
        </mc:AlternateContent>
        <mc:AlternateContent xmlns:mc="http://schemas.openxmlformats.org/markup-compatibility/2006">
          <mc:Choice Requires="x14">
            <control shapeId="12314" r:id="rId8" name="Drop Down 26">
              <controlPr defaultSize="0" autoLine="0" autoPict="0">
                <anchor moveWithCells="1">
                  <from>
                    <xdr:col>1</xdr:col>
                    <xdr:colOff>1676400</xdr:colOff>
                    <xdr:row>16</xdr:row>
                    <xdr:rowOff>180975</xdr:rowOff>
                  </from>
                  <to>
                    <xdr:col>3</xdr:col>
                    <xdr:colOff>0</xdr:colOff>
                    <xdr:row>18</xdr:row>
                    <xdr:rowOff>0</xdr:rowOff>
                  </to>
                </anchor>
              </controlPr>
            </control>
          </mc:Choice>
        </mc:AlternateContent>
        <mc:AlternateContent xmlns:mc="http://schemas.openxmlformats.org/markup-compatibility/2006">
          <mc:Choice Requires="x14">
            <control shapeId="12315" r:id="rId9" name="Drop Down 27">
              <controlPr defaultSize="0" autoLine="0" autoPict="0">
                <anchor moveWithCells="1">
                  <from>
                    <xdr:col>1</xdr:col>
                    <xdr:colOff>1676400</xdr:colOff>
                    <xdr:row>17</xdr:row>
                    <xdr:rowOff>180975</xdr:rowOff>
                  </from>
                  <to>
                    <xdr:col>3</xdr:col>
                    <xdr:colOff>0</xdr:colOff>
                    <xdr:row>18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60"/>
    <pageSetUpPr autoPageBreaks="0" fitToPage="1"/>
  </sheetPr>
  <dimension ref="A1:AP58"/>
  <sheetViews>
    <sheetView showGridLines="0" zoomScale="110" zoomScaleNormal="110" workbookViewId="0">
      <selection activeCell="C20" sqref="C20"/>
    </sheetView>
  </sheetViews>
  <sheetFormatPr defaultColWidth="9.140625" defaultRowHeight="21.75" x14ac:dyDescent="0.6"/>
  <cols>
    <col min="1" max="1" width="9.140625" style="93" customWidth="1"/>
    <col min="2" max="2" width="25.28515625" style="93" customWidth="1"/>
    <col min="3" max="3" width="22.5703125" style="93" customWidth="1"/>
    <col min="4" max="4" width="20.5703125" style="93" bestFit="1" customWidth="1"/>
    <col min="5" max="5" width="17.5703125" style="93" customWidth="1"/>
    <col min="6" max="6" width="16.85546875" style="93" customWidth="1"/>
    <col min="7" max="7" width="18.42578125" style="93" customWidth="1"/>
    <col min="8" max="8" width="9.42578125" style="93" customWidth="1"/>
    <col min="9" max="9" width="13.7109375" style="93" hidden="1" customWidth="1"/>
    <col min="10" max="10" width="33.7109375" style="93" hidden="1" customWidth="1"/>
    <col min="11" max="11" width="10.7109375" style="93" hidden="1" customWidth="1"/>
    <col min="12" max="12" width="13.7109375" style="93" hidden="1" customWidth="1"/>
    <col min="13" max="13" width="33.7109375" style="93" hidden="1" customWidth="1"/>
    <col min="14" max="14" width="10.7109375" style="93" hidden="1" customWidth="1"/>
    <col min="15" max="15" width="24.140625" style="93" hidden="1" customWidth="1"/>
    <col min="16" max="16" width="9.140625" style="93"/>
    <col min="17" max="17" width="12.85546875" style="93" customWidth="1"/>
    <col min="18" max="18" width="29.42578125" style="93" customWidth="1"/>
    <col min="19" max="19" width="6.140625" style="93" customWidth="1"/>
    <col min="20" max="20" width="13.7109375" style="93" customWidth="1"/>
    <col min="21" max="21" width="33.7109375" style="93" customWidth="1"/>
    <col min="22" max="22" width="7.5703125" style="93" customWidth="1"/>
    <col min="23" max="24" width="9.140625" style="93"/>
    <col min="25" max="25" width="5.7109375" style="93" customWidth="1"/>
    <col min="26" max="16384" width="9.140625" style="93"/>
  </cols>
  <sheetData>
    <row r="1" spans="1:42" ht="15" customHeight="1" x14ac:dyDescent="0.6">
      <c r="A1" s="94"/>
      <c r="B1" s="95"/>
      <c r="C1" s="95"/>
      <c r="D1" s="95"/>
      <c r="E1" s="95"/>
      <c r="F1" s="95"/>
      <c r="G1" s="95"/>
      <c r="H1" s="95"/>
      <c r="I1" s="95"/>
      <c r="J1" s="95"/>
      <c r="K1" s="95"/>
      <c r="L1" s="95"/>
      <c r="M1" s="95"/>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row>
    <row r="2" spans="1:42" x14ac:dyDescent="0.6">
      <c r="A2" s="95"/>
      <c r="B2" s="95"/>
      <c r="C2" s="95"/>
      <c r="D2" s="95"/>
      <c r="E2" s="95"/>
      <c r="F2" s="95"/>
      <c r="G2" s="95"/>
      <c r="H2" s="95"/>
      <c r="I2" s="95"/>
      <c r="J2" s="95"/>
      <c r="K2" s="95"/>
      <c r="L2" s="95"/>
      <c r="M2" s="95"/>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row>
    <row r="3" spans="1:42" ht="13.5" customHeight="1" x14ac:dyDescent="0.6">
      <c r="A3" s="97"/>
      <c r="B3" s="97"/>
      <c r="C3" s="97"/>
      <c r="D3" s="97"/>
      <c r="E3" s="97"/>
      <c r="F3" s="97"/>
      <c r="G3" s="97"/>
      <c r="H3" s="97"/>
      <c r="I3" s="97"/>
      <c r="J3" s="97"/>
      <c r="K3" s="97"/>
      <c r="L3" s="97"/>
      <c r="M3" s="97"/>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row>
    <row r="4" spans="1:42" ht="15" customHeight="1" x14ac:dyDescent="0.6">
      <c r="A4" s="97"/>
      <c r="B4" s="97"/>
      <c r="C4" s="97"/>
      <c r="D4" s="97"/>
      <c r="E4" s="97"/>
      <c r="F4" s="97"/>
      <c r="G4" s="97"/>
      <c r="H4" s="97"/>
      <c r="I4" s="97"/>
      <c r="J4" s="97"/>
      <c r="K4" s="97"/>
      <c r="L4" s="97"/>
      <c r="M4" s="97"/>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row>
    <row r="5" spans="1:42" ht="15" customHeight="1" x14ac:dyDescent="0.8">
      <c r="B5" s="98"/>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row>
    <row r="6" spans="1:42" ht="15" customHeight="1" x14ac:dyDescent="0.8">
      <c r="B6" s="98"/>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row>
    <row r="7" spans="1:42" ht="15" customHeight="1" thickBot="1" x14ac:dyDescent="0.65">
      <c r="B7" s="99" t="s">
        <v>117</v>
      </c>
      <c r="C7" s="99" t="s">
        <v>183</v>
      </c>
      <c r="D7" s="99" t="s">
        <v>184</v>
      </c>
      <c r="I7" s="100"/>
      <c r="J7" s="101" t="s">
        <v>6</v>
      </c>
      <c r="K7" s="102"/>
      <c r="L7" s="100"/>
      <c r="M7" s="103" t="s">
        <v>25</v>
      </c>
      <c r="N7" s="103"/>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row>
    <row r="8" spans="1:42" ht="15" customHeight="1" x14ac:dyDescent="0.8">
      <c r="B8" s="98"/>
      <c r="I8" s="100" t="s">
        <v>4</v>
      </c>
      <c r="J8" s="104" t="s">
        <v>120</v>
      </c>
      <c r="K8" s="105" t="s">
        <v>3</v>
      </c>
      <c r="L8" s="100" t="s">
        <v>7</v>
      </c>
      <c r="M8" s="104" t="s">
        <v>170</v>
      </c>
      <c r="N8" s="105"/>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row>
    <row r="9" spans="1:42" ht="15" customHeight="1" thickBot="1" x14ac:dyDescent="0.85">
      <c r="B9" s="98"/>
      <c r="I9" s="106">
        <v>1</v>
      </c>
      <c r="J9" s="107" t="str">
        <f>VLOOKUP(I9,'Back-End'!$A$119:$C$138,2,FALSE)</f>
        <v>Click to select width…</v>
      </c>
      <c r="K9" s="108">
        <f>VLOOKUP(I9,'Back-End'!$A$119:$C$138,3,FALSE)</f>
        <v>0</v>
      </c>
      <c r="L9" s="106">
        <f>I9+K9</f>
        <v>1</v>
      </c>
      <c r="M9" s="109">
        <f>VLOOKUP($L9,'Back-End'!$H$119:$I$138,2,FALSE)</f>
        <v>0</v>
      </c>
      <c r="N9" s="110"/>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row>
    <row r="10" spans="1:42" ht="15" customHeight="1" thickBot="1" x14ac:dyDescent="0.85">
      <c r="B10" s="98"/>
      <c r="I10" s="100"/>
      <c r="J10" s="101" t="s">
        <v>6</v>
      </c>
      <c r="K10" s="102"/>
      <c r="L10" s="100"/>
      <c r="M10" s="103" t="s">
        <v>25</v>
      </c>
      <c r="N10" s="103"/>
      <c r="P10" s="96"/>
      <c r="Q10" s="111"/>
      <c r="R10" s="112"/>
      <c r="S10" s="113"/>
      <c r="T10" s="111"/>
      <c r="U10" s="112"/>
      <c r="V10" s="112"/>
      <c r="W10" s="96"/>
      <c r="X10" s="96"/>
      <c r="Y10" s="96"/>
      <c r="Z10" s="96"/>
      <c r="AA10" s="96"/>
      <c r="AB10" s="96"/>
      <c r="AC10" s="96"/>
      <c r="AD10" s="96"/>
      <c r="AE10" s="96"/>
      <c r="AF10" s="96"/>
      <c r="AG10" s="96"/>
      <c r="AH10" s="96"/>
      <c r="AI10" s="96"/>
      <c r="AJ10" s="96"/>
      <c r="AK10" s="96"/>
      <c r="AL10" s="96"/>
      <c r="AM10" s="96"/>
      <c r="AN10" s="96"/>
      <c r="AO10" s="96"/>
      <c r="AP10" s="96"/>
    </row>
    <row r="11" spans="1:42" ht="15" customHeight="1" x14ac:dyDescent="0.8">
      <c r="B11" s="98"/>
      <c r="I11" s="100" t="s">
        <v>4</v>
      </c>
      <c r="J11" s="104" t="s">
        <v>148</v>
      </c>
      <c r="K11" s="105" t="s">
        <v>3</v>
      </c>
      <c r="L11" s="100" t="s">
        <v>7</v>
      </c>
      <c r="M11" s="104" t="s">
        <v>170</v>
      </c>
      <c r="N11" s="105" t="s">
        <v>171</v>
      </c>
      <c r="P11" s="96"/>
      <c r="Q11" s="111"/>
      <c r="R11" s="111"/>
      <c r="S11" s="111"/>
      <c r="T11" s="111"/>
      <c r="U11" s="111"/>
      <c r="V11" s="111"/>
      <c r="W11" s="96"/>
      <c r="X11" s="96"/>
      <c r="Y11" s="96"/>
      <c r="Z11" s="96"/>
      <c r="AA11" s="96"/>
      <c r="AB11" s="96"/>
      <c r="AC11" s="96"/>
      <c r="AD11" s="96"/>
      <c r="AE11" s="96"/>
      <c r="AF11" s="96"/>
      <c r="AG11" s="96"/>
      <c r="AH11" s="96"/>
      <c r="AI11" s="96"/>
      <c r="AJ11" s="96"/>
      <c r="AK11" s="96"/>
      <c r="AL11" s="96"/>
      <c r="AM11" s="96"/>
      <c r="AN11" s="96"/>
      <c r="AO11" s="96"/>
      <c r="AP11" s="96"/>
    </row>
    <row r="12" spans="1:42" s="114" customFormat="1" ht="15" customHeight="1" thickBot="1" x14ac:dyDescent="0.65">
      <c r="I12" s="106">
        <v>4</v>
      </c>
      <c r="J12" s="107" t="str">
        <f>VLOOKUP(I12,'Back-End'!$A$143:$C$163,2,FALSE)</f>
        <v>A1   (594.0 x 841.0)</v>
      </c>
      <c r="K12" s="108">
        <f>VLOOKUP(I12,'Back-End'!$A$143:$C$1166,3,FALSE)</f>
        <v>0</v>
      </c>
      <c r="L12" s="106">
        <f>I12+K12</f>
        <v>4</v>
      </c>
      <c r="M12" s="109">
        <f>VLOOKUP($L12,'Back-End'!$H$144:$I$164,2,FALSE)</f>
        <v>594</v>
      </c>
      <c r="N12" s="109">
        <f>VLOOKUP($L12,'Back-End'!$J$144:$K$164,2,FALSE)</f>
        <v>841</v>
      </c>
      <c r="P12" s="115"/>
      <c r="Q12" s="116"/>
      <c r="R12" s="116"/>
      <c r="S12" s="116"/>
      <c r="T12" s="116"/>
      <c r="U12" s="117"/>
      <c r="V12" s="117"/>
      <c r="W12" s="115"/>
      <c r="X12" s="115"/>
      <c r="Y12" s="115"/>
      <c r="Z12" s="115"/>
      <c r="AA12" s="115"/>
      <c r="AB12" s="115"/>
      <c r="AC12" s="115"/>
      <c r="AD12" s="115"/>
      <c r="AE12" s="115"/>
      <c r="AF12" s="115"/>
      <c r="AG12" s="115"/>
      <c r="AH12" s="115"/>
      <c r="AI12" s="115"/>
      <c r="AJ12" s="115"/>
      <c r="AK12" s="115"/>
      <c r="AL12" s="115"/>
      <c r="AM12" s="115"/>
      <c r="AN12" s="115"/>
      <c r="AO12" s="115"/>
      <c r="AP12" s="115"/>
    </row>
    <row r="13" spans="1:42" ht="21" customHeight="1" thickBot="1" x14ac:dyDescent="0.65">
      <c r="B13" s="118" t="s">
        <v>72</v>
      </c>
      <c r="C13" s="118" t="s">
        <v>185</v>
      </c>
      <c r="D13" s="118" t="s">
        <v>186</v>
      </c>
      <c r="I13" s="100"/>
      <c r="J13" s="101" t="s">
        <v>6</v>
      </c>
      <c r="K13" s="102"/>
      <c r="L13" s="100"/>
      <c r="M13" s="103" t="s">
        <v>25</v>
      </c>
      <c r="N13" s="103"/>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row>
    <row r="14" spans="1:42" ht="15" customHeight="1" x14ac:dyDescent="0.85">
      <c r="B14" s="119"/>
      <c r="I14" s="100" t="s">
        <v>4</v>
      </c>
      <c r="J14" s="104" t="s">
        <v>147</v>
      </c>
      <c r="K14" s="105" t="s">
        <v>3</v>
      </c>
      <c r="L14" s="100" t="s">
        <v>7</v>
      </c>
      <c r="M14" s="104" t="s">
        <v>172</v>
      </c>
      <c r="N14" s="105"/>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row>
    <row r="15" spans="1:42" ht="15" customHeight="1" thickBot="1" x14ac:dyDescent="0.65">
      <c r="B15" s="130" t="s">
        <v>24</v>
      </c>
      <c r="C15" s="145"/>
      <c r="D15" s="143"/>
      <c r="E15" s="143"/>
      <c r="F15" s="143"/>
      <c r="G15" s="143"/>
      <c r="I15" s="106">
        <v>1</v>
      </c>
      <c r="J15" s="107" t="str">
        <f>VLOOKUP(I15,'Back-End'!$D$119:$F$127,2,FALSE)</f>
        <v>Click to select length…</v>
      </c>
      <c r="K15" s="108">
        <f>VLOOKUP(I15,'Back-End'!$D$119:$F$127,3,FALSE)</f>
        <v>1</v>
      </c>
      <c r="L15" s="106">
        <f>I15+K15</f>
        <v>2</v>
      </c>
      <c r="M15" s="109" t="e">
        <f>VLOOKUP($L15,'Back-End'!$J$120:$K$127,2,FALSE)</f>
        <v>#N/A</v>
      </c>
      <c r="N15" s="110"/>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row>
    <row r="16" spans="1:42" ht="15" customHeight="1" x14ac:dyDescent="0.65">
      <c r="B16" s="130" t="s">
        <v>17</v>
      </c>
      <c r="C16" s="145"/>
      <c r="D16" s="144"/>
      <c r="E16" s="144"/>
      <c r="F16" s="144"/>
      <c r="G16" s="143"/>
      <c r="J16" s="121"/>
      <c r="K16" s="121"/>
      <c r="L16" s="121"/>
      <c r="M16" s="121"/>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row>
    <row r="17" spans="1:42" s="122" customFormat="1" ht="15" customHeight="1" thickBot="1" x14ac:dyDescent="0.7">
      <c r="A17" s="121"/>
      <c r="B17" s="131" t="s">
        <v>29</v>
      </c>
      <c r="C17" s="131"/>
      <c r="D17" s="144"/>
      <c r="E17" s="144"/>
      <c r="F17" s="144"/>
      <c r="G17" s="146"/>
      <c r="I17" s="100"/>
      <c r="J17" s="101" t="s">
        <v>6</v>
      </c>
      <c r="K17" s="102"/>
      <c r="L17" s="93"/>
      <c r="M17" s="9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row>
    <row r="18" spans="1:42" ht="15" customHeight="1" x14ac:dyDescent="0.6">
      <c r="B18" s="130" t="s">
        <v>111</v>
      </c>
      <c r="C18" s="135">
        <v>0</v>
      </c>
      <c r="D18" s="144"/>
      <c r="E18" s="131" t="s">
        <v>26</v>
      </c>
      <c r="F18" s="136"/>
      <c r="G18" s="131"/>
      <c r="I18" s="100" t="s">
        <v>4</v>
      </c>
      <c r="J18" s="104" t="s">
        <v>5</v>
      </c>
      <c r="K18" s="105" t="s">
        <v>3</v>
      </c>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row>
    <row r="19" spans="1:42" ht="15" customHeight="1" thickBot="1" x14ac:dyDescent="0.65">
      <c r="B19" s="130" t="s">
        <v>112</v>
      </c>
      <c r="C19" s="135">
        <v>0</v>
      </c>
      <c r="D19" s="144"/>
      <c r="E19" s="137"/>
      <c r="F19" s="132" t="s">
        <v>19</v>
      </c>
      <c r="G19" s="132" t="s">
        <v>20</v>
      </c>
      <c r="I19" s="106">
        <v>3</v>
      </c>
      <c r="J19" s="107" t="str">
        <f>VLOOKUP(I19,'Back-End'!$A$39:$C$41,2,FALSE)</f>
        <v>Travel</v>
      </c>
      <c r="K19" s="108">
        <f>VLOOKUP(I19,'Back-End'!$A$39:$C$41,3,FALSE)</f>
        <v>30</v>
      </c>
      <c r="L19" s="122"/>
      <c r="M19" s="122"/>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row>
    <row r="20" spans="1:42" ht="15" customHeight="1" thickBot="1" x14ac:dyDescent="0.65">
      <c r="B20" s="130" t="s">
        <v>18</v>
      </c>
      <c r="C20" s="209">
        <v>0</v>
      </c>
      <c r="D20" s="144"/>
      <c r="E20" s="210" t="s">
        <v>21</v>
      </c>
      <c r="F20" s="211">
        <f>IFERROR((K26*((M12/1000*N12/1000))*(C22/330)),"-")</f>
        <v>0</v>
      </c>
      <c r="G20" s="211">
        <f>IFERROR((K26*((M12/1000*N12/1000))*(C23/700)),"-")</f>
        <v>1.9359754081747198</v>
      </c>
      <c r="I20" s="100"/>
      <c r="J20" s="101" t="s">
        <v>6</v>
      </c>
      <c r="K20" s="101"/>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row>
    <row r="21" spans="1:42" s="122" customFormat="1" ht="15" customHeight="1" x14ac:dyDescent="0.6">
      <c r="B21" s="131" t="s">
        <v>28</v>
      </c>
      <c r="C21" s="138"/>
      <c r="D21" s="144"/>
      <c r="E21" s="210" t="s">
        <v>22</v>
      </c>
      <c r="F21" s="211" t="str">
        <f>IFERROR(((M12/1000*N12/1000))*(F24),"-")</f>
        <v>-</v>
      </c>
      <c r="G21" s="211" t="str">
        <f>IFERROR(((M12/1000*N12/1000))*(F24),"-")</f>
        <v>-</v>
      </c>
      <c r="I21" s="100" t="s">
        <v>4</v>
      </c>
      <c r="J21" s="104" t="s">
        <v>5</v>
      </c>
      <c r="K21" s="105" t="s">
        <v>3</v>
      </c>
      <c r="L21" s="93"/>
      <c r="M21" s="9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row>
    <row r="22" spans="1:42" ht="15" customHeight="1" thickBot="1" x14ac:dyDescent="0.65">
      <c r="B22" s="130" t="s">
        <v>15</v>
      </c>
      <c r="C22" s="209">
        <v>0</v>
      </c>
      <c r="D22" s="144"/>
      <c r="E22" s="215" t="s">
        <v>23</v>
      </c>
      <c r="F22" s="216" t="str">
        <f>IFERROR(F20+F21,"-")</f>
        <v>-</v>
      </c>
      <c r="G22" s="216" t="str">
        <f>IFERROR(G20+G21,"-")</f>
        <v>-</v>
      </c>
      <c r="I22" s="100">
        <v>5</v>
      </c>
      <c r="J22" s="124" t="str">
        <f>VLOOKUP($I22,'Back-End'!$D$39:$F$46,2,FALSE)</f>
        <v>HW Satin Photo</v>
      </c>
      <c r="K22" s="125">
        <f>VLOOKUP($I22,'Back-End'!$D$39:$F$46,3,FALSE)</f>
        <v>5</v>
      </c>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row>
    <row r="23" spans="1:42" ht="15" customHeight="1" x14ac:dyDescent="0.6">
      <c r="B23" s="130" t="s">
        <v>16</v>
      </c>
      <c r="C23" s="209">
        <v>366.45</v>
      </c>
      <c r="D23" s="144"/>
      <c r="E23" s="210" t="s">
        <v>113</v>
      </c>
      <c r="F23" s="212">
        <f>IFERROR(F20/((M12/1000*N12/1000)),"-")</f>
        <v>0</v>
      </c>
      <c r="G23" s="212">
        <f>IFERROR(G20/((M12/1000*N12/1000)),"-")</f>
        <v>3.8754076799999995</v>
      </c>
      <c r="I23" s="106"/>
      <c r="J23" s="106"/>
      <c r="K23" s="106"/>
      <c r="L23" s="122"/>
      <c r="M23" s="122"/>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row>
    <row r="24" spans="1:42" s="122" customFormat="1" ht="15" customHeight="1" thickBot="1" x14ac:dyDescent="0.7">
      <c r="B24" s="131" t="s">
        <v>27</v>
      </c>
      <c r="C24" s="132"/>
      <c r="D24" s="139"/>
      <c r="E24" s="213" t="s">
        <v>114</v>
      </c>
      <c r="F24" s="211" t="str">
        <f>IFERROR(C20/((M15*M9/1000)),"-")</f>
        <v>-</v>
      </c>
      <c r="G24" s="211" t="str">
        <f>IFERROR(C20/((M15*M9/1000)),"-")</f>
        <v>-</v>
      </c>
      <c r="H24" s="121"/>
      <c r="I24" s="100"/>
      <c r="J24" s="103" t="s">
        <v>25</v>
      </c>
      <c r="K24" s="103"/>
      <c r="L24" s="93"/>
      <c r="M24" s="9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row>
    <row r="25" spans="1:42" ht="15" customHeight="1" x14ac:dyDescent="0.65">
      <c r="B25" s="143"/>
      <c r="C25" s="143"/>
      <c r="D25" s="144"/>
      <c r="E25" s="215" t="s">
        <v>115</v>
      </c>
      <c r="F25" s="217" t="str">
        <f>IFERROR(F23+F24,"-")</f>
        <v>-</v>
      </c>
      <c r="G25" s="217" t="str">
        <f>IFERROR(G23+G24,"-")</f>
        <v>-</v>
      </c>
      <c r="H25" s="121"/>
      <c r="I25" s="100" t="s">
        <v>7</v>
      </c>
      <c r="J25" s="104" t="s">
        <v>13</v>
      </c>
      <c r="K25" s="105" t="s">
        <v>14</v>
      </c>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row>
    <row r="26" spans="1:42" ht="15" customHeight="1" thickBot="1" x14ac:dyDescent="0.7">
      <c r="B26" s="140" t="s">
        <v>180</v>
      </c>
      <c r="C26" s="141" t="s">
        <v>181</v>
      </c>
      <c r="D26" s="144"/>
      <c r="E26" s="210" t="s">
        <v>116</v>
      </c>
      <c r="F26" s="214">
        <f>IFERROR((330*8)/(K26)/(M12/1000*N12/1000),"-")</f>
        <v>713.8727042524871</v>
      </c>
      <c r="G26" s="214">
        <f>IFERROR((700*8)/(K26)/(M12/1000*N12/1000),"-")</f>
        <v>1514.2754332628515</v>
      </c>
      <c r="H26" s="121"/>
      <c r="I26" s="106">
        <f>K19+K22</f>
        <v>35</v>
      </c>
      <c r="J26" s="107" t="str">
        <f>VLOOKUP($I26,'Back-End'!$H$39:$K$62,2,FALSE)</f>
        <v>Travel- HW Satin Photo</v>
      </c>
      <c r="K26" s="108">
        <f>VLOOKUP($I26,'Back-End'!$H$39:$K$62,3,FALSE)</f>
        <v>7.4028800000000006</v>
      </c>
      <c r="L26" s="122"/>
      <c r="M26" s="122"/>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row>
    <row r="27" spans="1:42" ht="18" customHeight="1" x14ac:dyDescent="0.65">
      <c r="B27" s="142">
        <f>IFERROR(M12,"-")</f>
        <v>594</v>
      </c>
      <c r="C27" s="142">
        <f>IFERROR(N12,"-")</f>
        <v>841</v>
      </c>
      <c r="D27" s="144"/>
      <c r="E27" s="144"/>
      <c r="F27" s="144"/>
      <c r="G27" s="144"/>
      <c r="H27" s="121"/>
      <c r="I27" s="121"/>
      <c r="J27" s="121"/>
      <c r="K27" s="121"/>
      <c r="L27" s="121"/>
      <c r="M27" s="121"/>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row>
    <row r="28" spans="1:42" ht="23.25" x14ac:dyDescent="0.65">
      <c r="E28" s="121"/>
      <c r="F28" s="121"/>
      <c r="G28" s="121"/>
      <c r="H28" s="121"/>
      <c r="I28" s="121"/>
      <c r="J28" s="121"/>
      <c r="K28" s="121"/>
      <c r="L28" s="121"/>
      <c r="M28" s="121"/>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row>
    <row r="29" spans="1:42" ht="21.75" customHeight="1" x14ac:dyDescent="0.65">
      <c r="C29" s="234"/>
      <c r="D29" s="234"/>
      <c r="E29" s="234"/>
      <c r="F29" s="234"/>
      <c r="G29" s="120"/>
      <c r="H29" s="120"/>
      <c r="I29" s="120"/>
      <c r="J29" s="120"/>
      <c r="K29" s="120"/>
      <c r="L29" s="120"/>
      <c r="M29" s="120"/>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row>
    <row r="30" spans="1:42" ht="9.75" customHeight="1" x14ac:dyDescent="0.65">
      <c r="C30" s="234"/>
      <c r="D30" s="234"/>
      <c r="E30" s="234"/>
      <c r="F30" s="234"/>
      <c r="G30" s="120"/>
      <c r="H30" s="120"/>
      <c r="I30" s="120"/>
      <c r="J30" s="120"/>
      <c r="K30" s="120"/>
      <c r="L30" s="120"/>
      <c r="M30" s="120"/>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row>
    <row r="31" spans="1:42" ht="23.25" x14ac:dyDescent="0.65">
      <c r="A31" s="96"/>
      <c r="B31" s="96"/>
      <c r="C31" s="96"/>
      <c r="D31" s="96"/>
      <c r="E31" s="126"/>
      <c r="F31" s="126"/>
      <c r="G31" s="126"/>
      <c r="H31" s="126"/>
      <c r="I31" s="127"/>
      <c r="J31" s="127"/>
      <c r="K31" s="127"/>
      <c r="L31" s="127"/>
      <c r="M31" s="127"/>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row>
    <row r="32" spans="1:42" ht="23.25" x14ac:dyDescent="0.65">
      <c r="A32" s="96"/>
      <c r="B32" s="96"/>
      <c r="C32" s="96"/>
      <c r="D32" s="96"/>
      <c r="E32" s="126"/>
      <c r="F32" s="126"/>
      <c r="G32" s="126"/>
      <c r="H32" s="126"/>
      <c r="I32" s="126"/>
      <c r="J32" s="126"/>
      <c r="K32" s="126"/>
      <c r="L32" s="126"/>
      <c r="M32" s="12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row>
    <row r="33" spans="1:42" ht="23.25" x14ac:dyDescent="0.65">
      <c r="A33" s="96"/>
      <c r="B33" s="96"/>
      <c r="C33" s="96"/>
      <c r="D33" s="96"/>
      <c r="E33" s="126"/>
      <c r="F33" s="126"/>
      <c r="G33" s="126"/>
      <c r="H33" s="126"/>
      <c r="I33" s="126"/>
      <c r="J33" s="126"/>
      <c r="K33" s="126"/>
      <c r="L33" s="126"/>
      <c r="M33" s="12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row>
    <row r="34" spans="1:42" ht="23.25" x14ac:dyDescent="0.65">
      <c r="A34" s="96"/>
      <c r="B34" s="96"/>
      <c r="C34" s="96"/>
      <c r="D34" s="96"/>
      <c r="E34" s="126"/>
      <c r="F34" s="126"/>
      <c r="G34" s="126"/>
      <c r="H34" s="126"/>
      <c r="I34" s="126"/>
      <c r="J34" s="126"/>
      <c r="K34" s="126"/>
      <c r="L34" s="126"/>
      <c r="M34" s="12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row>
    <row r="35" spans="1:42" ht="23.25" x14ac:dyDescent="0.65">
      <c r="A35" s="96"/>
      <c r="B35" s="96"/>
      <c r="C35" s="96"/>
      <c r="D35" s="96"/>
      <c r="E35" s="126"/>
      <c r="F35" s="126"/>
      <c r="G35" s="126"/>
      <c r="H35" s="126"/>
      <c r="I35" s="126"/>
      <c r="J35" s="126"/>
      <c r="K35" s="126"/>
      <c r="L35" s="126"/>
      <c r="M35" s="126"/>
      <c r="N35" s="96"/>
      <c r="O35" s="96"/>
      <c r="P35" s="96"/>
      <c r="Q35" s="96"/>
      <c r="R35" s="96"/>
      <c r="S35" s="96"/>
      <c r="T35" s="96"/>
      <c r="U35" s="96"/>
      <c r="V35" s="96"/>
      <c r="W35" s="96"/>
      <c r="X35" s="96"/>
      <c r="Y35" s="96"/>
      <c r="Z35" s="96"/>
      <c r="AA35" s="96"/>
      <c r="AB35" s="96"/>
    </row>
    <row r="36" spans="1:42" ht="23.25" x14ac:dyDescent="0.65">
      <c r="A36" s="96"/>
      <c r="B36" s="96"/>
      <c r="C36" s="96"/>
      <c r="D36" s="96"/>
      <c r="E36" s="126"/>
      <c r="F36" s="126"/>
      <c r="G36" s="126"/>
      <c r="H36" s="126"/>
      <c r="I36" s="126"/>
      <c r="J36" s="126"/>
      <c r="K36" s="126"/>
      <c r="L36" s="126"/>
      <c r="M36" s="126"/>
      <c r="N36" s="96"/>
      <c r="O36" s="96"/>
      <c r="P36" s="96"/>
      <c r="Q36" s="96"/>
      <c r="R36" s="96"/>
      <c r="S36" s="96"/>
      <c r="T36" s="96"/>
      <c r="U36" s="96"/>
      <c r="V36" s="96"/>
      <c r="W36" s="96"/>
      <c r="X36" s="96"/>
      <c r="Y36" s="96"/>
      <c r="Z36" s="96"/>
      <c r="AA36" s="96"/>
      <c r="AB36" s="96"/>
    </row>
    <row r="37" spans="1:42" ht="23.25" x14ac:dyDescent="0.65">
      <c r="A37" s="96"/>
      <c r="B37" s="96"/>
      <c r="C37" s="96"/>
      <c r="D37" s="96"/>
      <c r="E37" s="128"/>
      <c r="F37" s="128"/>
      <c r="G37" s="128"/>
      <c r="H37" s="128"/>
      <c r="I37" s="128"/>
      <c r="J37" s="128"/>
      <c r="K37" s="128"/>
      <c r="L37" s="128"/>
      <c r="M37" s="128"/>
      <c r="N37" s="96"/>
      <c r="O37" s="96"/>
      <c r="P37" s="96"/>
      <c r="Q37" s="96"/>
      <c r="R37" s="96"/>
      <c r="S37" s="96"/>
      <c r="T37" s="96"/>
      <c r="U37" s="96"/>
      <c r="V37" s="96"/>
      <c r="W37" s="96"/>
      <c r="X37" s="96"/>
      <c r="Y37" s="96"/>
      <c r="Z37" s="96"/>
      <c r="AA37" s="96"/>
      <c r="AB37" s="96"/>
    </row>
    <row r="38" spans="1:42" x14ac:dyDescent="0.6">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42" x14ac:dyDescent="0.6">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row>
    <row r="40" spans="1:42" x14ac:dyDescent="0.6">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42" x14ac:dyDescent="0.6">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row>
    <row r="42" spans="1:42" x14ac:dyDescent="0.6">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96"/>
      <c r="AA42" s="96"/>
      <c r="AB42" s="96"/>
    </row>
    <row r="43" spans="1:42" x14ac:dyDescent="0.6">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96"/>
      <c r="AA43" s="96"/>
      <c r="AB43" s="96"/>
    </row>
    <row r="44" spans="1:42" x14ac:dyDescent="0.6">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row>
    <row r="45" spans="1:42" x14ac:dyDescent="0.6">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row>
    <row r="46" spans="1:42" x14ac:dyDescent="0.6">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row>
    <row r="47" spans="1:42" x14ac:dyDescent="0.6">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row>
    <row r="48" spans="1:42" x14ac:dyDescent="0.6">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row>
    <row r="49" spans="1:25" x14ac:dyDescent="0.6">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1:25" x14ac:dyDescent="0.6">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row>
    <row r="51" spans="1:25" x14ac:dyDescent="0.6">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row>
    <row r="52" spans="1:25" x14ac:dyDescent="0.6">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1:25" x14ac:dyDescent="0.6">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row>
    <row r="54" spans="1:25" x14ac:dyDescent="0.6">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row>
    <row r="55" spans="1:25" x14ac:dyDescent="0.6">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row>
    <row r="56" spans="1:25" x14ac:dyDescent="0.6">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row>
    <row r="57" spans="1:25" x14ac:dyDescent="0.6">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1:25" x14ac:dyDescent="0.6">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row>
  </sheetData>
  <sheetProtection algorithmName="SHA-512" hashValue="abkdg8PX3BTzPR4RymlQ8mYwNKyiV8EwTBqEjSwrDtLHaGo54t3UQkXxTfGF/TqWtQzsOSMslr+tsKZWCuBYOQ==" saltValue="fyKeTPDi+TIcm9GQn8MI/g==" spinCount="100000" sheet="1" objects="1" selectLockedCells="1"/>
  <mergeCells count="1">
    <mergeCell ref="C29:F30"/>
  </mergeCells>
  <phoneticPr fontId="5" type="noConversion"/>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14349" r:id="rId5" name="Drop Down 13">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mc:AlternateContent xmlns:mc="http://schemas.openxmlformats.org/markup-compatibility/2006">
          <mc:Choice Requires="x14">
            <control shapeId="14350" r:id="rId6" name="Drop Down 14">
              <controlPr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14351" r:id="rId7" name="Drop Down 15">
              <controlPr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14354" r:id="rId8" name="Drop Down 18">
              <controlPr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14355" r:id="rId9" name="Drop Down 19">
              <controlPr defaultSize="0" autoLine="0" autoPict="0">
                <anchor moveWithCells="1">
                  <from>
                    <xdr:col>2</xdr:col>
                    <xdr:colOff>0</xdr:colOff>
                    <xdr:row>15</xdr:row>
                    <xdr:rowOff>0</xdr:rowOff>
                  </from>
                  <to>
                    <xdr:col>3</xdr:col>
                    <xdr:colOff>533400</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3399"/>
    <pageSetUpPr autoPageBreaks="0" fitToPage="1"/>
  </sheetPr>
  <dimension ref="A1:AP58"/>
  <sheetViews>
    <sheetView showGridLines="0" zoomScale="110" zoomScaleNormal="110" workbookViewId="0">
      <selection activeCell="C20" sqref="C20"/>
    </sheetView>
  </sheetViews>
  <sheetFormatPr defaultColWidth="9.140625" defaultRowHeight="21.75" x14ac:dyDescent="0.25"/>
  <cols>
    <col min="1" max="1" width="9.140625" style="143" customWidth="1"/>
    <col min="2" max="2" width="25.28515625" style="143" customWidth="1"/>
    <col min="3" max="3" width="22.5703125" style="143" customWidth="1"/>
    <col min="4" max="4" width="20.5703125" style="143" bestFit="1" customWidth="1"/>
    <col min="5" max="5" width="17.5703125" style="143" customWidth="1"/>
    <col min="6" max="6" width="16.85546875" style="143" customWidth="1"/>
    <col min="7" max="7" width="18.42578125" style="143" customWidth="1"/>
    <col min="8" max="8" width="9.85546875" style="143" customWidth="1"/>
    <col min="9" max="9" width="13.7109375" style="143" hidden="1" customWidth="1"/>
    <col min="10" max="10" width="33.7109375" style="143" hidden="1" customWidth="1"/>
    <col min="11" max="11" width="10.7109375" style="143" hidden="1" customWidth="1"/>
    <col min="12" max="12" width="13.7109375" style="143" hidden="1" customWidth="1"/>
    <col min="13" max="13" width="33.7109375" style="143" hidden="1" customWidth="1"/>
    <col min="14" max="14" width="10.7109375" style="143" hidden="1" customWidth="1"/>
    <col min="15" max="15" width="9.140625" style="143" hidden="1" customWidth="1"/>
    <col min="16" max="16" width="9.140625" style="143"/>
    <col min="17" max="17" width="12.85546875" style="143" customWidth="1"/>
    <col min="18" max="18" width="29.42578125" style="143" customWidth="1"/>
    <col min="19" max="19" width="6.140625" style="143" customWidth="1"/>
    <col min="20" max="20" width="13.7109375" style="143" customWidth="1"/>
    <col min="21" max="21" width="33.7109375" style="143" customWidth="1"/>
    <col min="22" max="22" width="7.5703125" style="143" customWidth="1"/>
    <col min="23" max="24" width="9.140625" style="143"/>
    <col min="25" max="25" width="5.7109375" style="143" customWidth="1"/>
    <col min="26" max="16384" width="9.140625" style="143"/>
  </cols>
  <sheetData>
    <row r="1" spans="1:42" ht="15" customHeight="1" x14ac:dyDescent="0.25">
      <c r="A1"/>
      <c r="B1" s="95"/>
      <c r="C1" s="95"/>
      <c r="D1" s="95"/>
      <c r="E1" s="95"/>
      <c r="F1" s="95"/>
      <c r="G1" s="95"/>
      <c r="H1" s="95"/>
      <c r="I1" s="95"/>
      <c r="J1" s="95"/>
      <c r="K1" s="95"/>
      <c r="L1" s="95"/>
      <c r="M1" s="95"/>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row>
    <row r="2" spans="1:42" x14ac:dyDescent="0.25">
      <c r="A2" s="95"/>
      <c r="B2" s="95"/>
      <c r="C2" s="95"/>
      <c r="D2" s="95"/>
      <c r="E2" s="95"/>
      <c r="F2" s="95"/>
      <c r="G2" s="95"/>
      <c r="H2" s="95"/>
      <c r="I2" s="95"/>
      <c r="J2" s="95"/>
      <c r="K2" s="95"/>
      <c r="L2" s="95"/>
      <c r="M2" s="95"/>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row>
    <row r="3" spans="1:42" ht="13.5" customHeight="1" x14ac:dyDescent="0.25">
      <c r="A3" s="97"/>
      <c r="B3" s="97"/>
      <c r="C3" s="97"/>
      <c r="D3" s="97"/>
      <c r="E3" s="97"/>
      <c r="F3" s="97"/>
      <c r="G3" s="97"/>
      <c r="H3" s="97"/>
      <c r="I3" s="97"/>
      <c r="J3" s="97"/>
      <c r="K3" s="97"/>
      <c r="L3" s="97"/>
      <c r="M3" s="97"/>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row>
    <row r="4" spans="1:42" ht="15" customHeight="1" x14ac:dyDescent="0.25">
      <c r="A4" s="97"/>
      <c r="B4" s="97"/>
      <c r="C4" s="97"/>
      <c r="D4" s="97"/>
      <c r="E4" s="97"/>
      <c r="F4" s="97"/>
      <c r="G4" s="97"/>
      <c r="H4" s="97"/>
      <c r="I4" s="97"/>
      <c r="J4" s="97"/>
      <c r="K4" s="97"/>
      <c r="L4" s="97"/>
      <c r="M4" s="97"/>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row>
    <row r="5" spans="1:42" ht="15" customHeight="1" x14ac:dyDescent="0.25">
      <c r="B5" s="149"/>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row>
    <row r="6" spans="1:42" ht="15" customHeight="1" x14ac:dyDescent="0.25">
      <c r="B6" s="149"/>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row>
    <row r="7" spans="1:42" ht="15" customHeight="1" thickBot="1" x14ac:dyDescent="0.3">
      <c r="B7" s="139" t="s">
        <v>117</v>
      </c>
      <c r="C7" s="139" t="s">
        <v>118</v>
      </c>
      <c r="D7" s="139" t="s">
        <v>119</v>
      </c>
      <c r="I7" s="150"/>
      <c r="J7" s="151" t="s">
        <v>6</v>
      </c>
      <c r="K7" s="152"/>
      <c r="L7" s="150"/>
      <c r="M7" s="153" t="s">
        <v>25</v>
      </c>
      <c r="N7" s="153"/>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row>
    <row r="8" spans="1:42" ht="15" customHeight="1" x14ac:dyDescent="0.25">
      <c r="B8" s="149"/>
      <c r="I8" s="150" t="s">
        <v>4</v>
      </c>
      <c r="J8" s="154" t="s">
        <v>120</v>
      </c>
      <c r="K8" s="155" t="s">
        <v>3</v>
      </c>
      <c r="L8" s="150" t="s">
        <v>7</v>
      </c>
      <c r="M8" s="154" t="s">
        <v>170</v>
      </c>
      <c r="N8" s="155"/>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row>
    <row r="9" spans="1:42" ht="15" customHeight="1" thickBot="1" x14ac:dyDescent="0.3">
      <c r="B9" s="149"/>
      <c r="I9" s="156">
        <v>1</v>
      </c>
      <c r="J9" s="157" t="str">
        <f>VLOOKUP(I9,'Back-End'!$A$119:$C$138,2,FALSE)</f>
        <v>Click to select width…</v>
      </c>
      <c r="K9" s="158">
        <f>VLOOKUP(I9,'Back-End'!$A$119:$C$138,3,FALSE)</f>
        <v>0</v>
      </c>
      <c r="L9" s="156">
        <f>I9+K9</f>
        <v>1</v>
      </c>
      <c r="M9" s="159">
        <f>VLOOKUP($L9,'Back-End'!$H$119:$I$138,2,FALSE)</f>
        <v>0</v>
      </c>
      <c r="N9" s="160"/>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row>
    <row r="10" spans="1:42" ht="15" customHeight="1" thickBot="1" x14ac:dyDescent="0.3">
      <c r="B10" s="149"/>
      <c r="I10" s="150"/>
      <c r="J10" s="151" t="s">
        <v>6</v>
      </c>
      <c r="K10" s="152"/>
      <c r="L10" s="150"/>
      <c r="M10" s="153" t="s">
        <v>25</v>
      </c>
      <c r="N10" s="153"/>
      <c r="P10" s="148"/>
      <c r="Q10" s="161"/>
      <c r="R10" s="162"/>
      <c r="S10" s="163"/>
      <c r="T10" s="161"/>
      <c r="U10" s="162"/>
      <c r="V10" s="162"/>
      <c r="W10" s="148"/>
      <c r="X10" s="148"/>
      <c r="Y10" s="148"/>
      <c r="Z10" s="148"/>
      <c r="AA10" s="148"/>
      <c r="AB10" s="148"/>
      <c r="AC10" s="148"/>
      <c r="AD10" s="148"/>
      <c r="AE10" s="148"/>
      <c r="AF10" s="148"/>
      <c r="AG10" s="148"/>
      <c r="AH10" s="148"/>
      <c r="AI10" s="148"/>
      <c r="AJ10" s="148"/>
      <c r="AK10" s="148"/>
      <c r="AL10" s="148"/>
      <c r="AM10" s="148"/>
      <c r="AN10" s="148"/>
      <c r="AO10" s="148"/>
      <c r="AP10" s="148"/>
    </row>
    <row r="11" spans="1:42" ht="15" customHeight="1" x14ac:dyDescent="0.25">
      <c r="B11" s="149"/>
      <c r="I11" s="150" t="s">
        <v>4</v>
      </c>
      <c r="J11" s="154" t="s">
        <v>148</v>
      </c>
      <c r="K11" s="155" t="s">
        <v>3</v>
      </c>
      <c r="L11" s="150" t="s">
        <v>7</v>
      </c>
      <c r="M11" s="154" t="s">
        <v>170</v>
      </c>
      <c r="N11" s="155" t="s">
        <v>171</v>
      </c>
      <c r="P11" s="148"/>
      <c r="Q11" s="161"/>
      <c r="R11" s="161"/>
      <c r="S11" s="161"/>
      <c r="T11" s="161"/>
      <c r="U11" s="161"/>
      <c r="V11" s="161"/>
      <c r="W11" s="148"/>
      <c r="X11" s="148"/>
      <c r="Y11" s="148"/>
      <c r="Z11" s="148"/>
      <c r="AA11" s="148"/>
      <c r="AB11" s="148"/>
      <c r="AC11" s="148"/>
      <c r="AD11" s="148"/>
      <c r="AE11" s="148"/>
      <c r="AF11" s="148"/>
      <c r="AG11" s="148"/>
      <c r="AH11" s="148"/>
      <c r="AI11" s="148"/>
      <c r="AJ11" s="148"/>
      <c r="AK11" s="148"/>
      <c r="AL11" s="148"/>
      <c r="AM11" s="148"/>
      <c r="AN11" s="148"/>
      <c r="AO11" s="148"/>
      <c r="AP11" s="148"/>
    </row>
    <row r="12" spans="1:42" s="164" customFormat="1" ht="15" customHeight="1" thickBot="1" x14ac:dyDescent="0.3">
      <c r="I12" s="156">
        <v>1</v>
      </c>
      <c r="J12" s="157" t="str">
        <f>VLOOKUP(I12,'Back-End'!$A$143:$C$163,2,FALSE)</f>
        <v>Click to select size…</v>
      </c>
      <c r="K12" s="158">
        <f>VLOOKUP(I12,'Back-End'!$A$143:$C$1166,3,FALSE)</f>
        <v>0</v>
      </c>
      <c r="L12" s="156">
        <f>I12+K12</f>
        <v>1</v>
      </c>
      <c r="M12" s="159" t="e">
        <f>VLOOKUP($L12,'Back-End'!$H$144:$I$164,2,FALSE)</f>
        <v>#N/A</v>
      </c>
      <c r="N12" s="159" t="e">
        <f>VLOOKUP($L12,'Back-End'!$J$144:$K$164,2,FALSE)</f>
        <v>#N/A</v>
      </c>
      <c r="P12" s="165"/>
      <c r="Q12" s="166"/>
      <c r="R12" s="166"/>
      <c r="S12" s="166"/>
      <c r="T12" s="166"/>
      <c r="U12" s="167"/>
      <c r="V12" s="167"/>
      <c r="W12" s="165"/>
      <c r="X12" s="165"/>
      <c r="Y12" s="165"/>
      <c r="Z12" s="165"/>
      <c r="AA12" s="165"/>
      <c r="AB12" s="165"/>
      <c r="AC12" s="165"/>
      <c r="AD12" s="165"/>
      <c r="AE12" s="165"/>
      <c r="AF12" s="165"/>
      <c r="AG12" s="165"/>
      <c r="AH12" s="165"/>
      <c r="AI12" s="165"/>
      <c r="AJ12" s="165"/>
      <c r="AK12" s="165"/>
      <c r="AL12" s="165"/>
      <c r="AM12" s="165"/>
      <c r="AN12" s="165"/>
      <c r="AO12" s="165"/>
      <c r="AP12" s="165"/>
    </row>
    <row r="13" spans="1:42" ht="15" customHeight="1" thickBot="1" x14ac:dyDescent="0.3">
      <c r="B13" s="147" t="s">
        <v>72</v>
      </c>
      <c r="C13" s="147" t="s">
        <v>104</v>
      </c>
      <c r="D13" s="147" t="s">
        <v>182</v>
      </c>
      <c r="I13" s="150"/>
      <c r="J13" s="151" t="s">
        <v>6</v>
      </c>
      <c r="K13" s="152"/>
      <c r="L13" s="150"/>
      <c r="M13" s="153" t="s">
        <v>25</v>
      </c>
      <c r="N13" s="153"/>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row>
    <row r="14" spans="1:42" ht="15" customHeight="1" x14ac:dyDescent="0.25">
      <c r="B14" s="168"/>
      <c r="I14" s="150" t="s">
        <v>4</v>
      </c>
      <c r="J14" s="154" t="s">
        <v>147</v>
      </c>
      <c r="K14" s="155" t="s">
        <v>3</v>
      </c>
      <c r="L14" s="150" t="s">
        <v>7</v>
      </c>
      <c r="M14" s="154" t="s">
        <v>172</v>
      </c>
      <c r="N14" s="155"/>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row>
    <row r="15" spans="1:42" ht="15" customHeight="1" thickBot="1" x14ac:dyDescent="0.3">
      <c r="B15" s="130" t="s">
        <v>24</v>
      </c>
      <c r="C15" s="145"/>
      <c r="I15" s="156">
        <v>1</v>
      </c>
      <c r="J15" s="157" t="str">
        <f>VLOOKUP(I15,'Back-End'!$D$119:$F$127,2,FALSE)</f>
        <v>Click to select length…</v>
      </c>
      <c r="K15" s="158">
        <f>VLOOKUP(I15,'Back-End'!$D$119:$F$127,3,FALSE)</f>
        <v>1</v>
      </c>
      <c r="L15" s="156">
        <f>I15+K15</f>
        <v>2</v>
      </c>
      <c r="M15" s="159" t="e">
        <f>VLOOKUP($L15,'Back-End'!$J$120:$K$127,2,FALSE)</f>
        <v>#N/A</v>
      </c>
      <c r="N15" s="160"/>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row>
    <row r="16" spans="1:42" ht="15" customHeight="1" x14ac:dyDescent="0.25">
      <c r="B16" s="130" t="s">
        <v>17</v>
      </c>
      <c r="C16" s="145"/>
      <c r="D16" s="144"/>
      <c r="E16" s="144"/>
      <c r="F16" s="144"/>
      <c r="J16" s="144"/>
      <c r="K16" s="144"/>
      <c r="L16" s="144"/>
      <c r="M16" s="144"/>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row>
    <row r="17" spans="1:42" s="146" customFormat="1" ht="15" customHeight="1" thickBot="1" x14ac:dyDescent="0.3">
      <c r="A17" s="144"/>
      <c r="B17" s="131" t="s">
        <v>29</v>
      </c>
      <c r="C17" s="131"/>
      <c r="D17" s="144"/>
      <c r="E17" s="144"/>
      <c r="F17" s="144"/>
      <c r="I17" s="150"/>
      <c r="J17" s="151" t="s">
        <v>6</v>
      </c>
      <c r="K17" s="152"/>
      <c r="L17" s="143"/>
      <c r="M17" s="143"/>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row>
    <row r="18" spans="1:42" ht="15" customHeight="1" x14ac:dyDescent="0.25">
      <c r="B18" s="130" t="s">
        <v>111</v>
      </c>
      <c r="C18" s="135">
        <v>0</v>
      </c>
      <c r="D18" s="144"/>
      <c r="E18" s="131" t="s">
        <v>26</v>
      </c>
      <c r="F18" s="136"/>
      <c r="G18" s="131"/>
      <c r="I18" s="150" t="s">
        <v>4</v>
      </c>
      <c r="J18" s="154" t="s">
        <v>5</v>
      </c>
      <c r="K18" s="155" t="s">
        <v>3</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row>
    <row r="19" spans="1:42" ht="15" customHeight="1" thickBot="1" x14ac:dyDescent="0.3">
      <c r="B19" s="130" t="s">
        <v>112</v>
      </c>
      <c r="C19" s="135">
        <v>0</v>
      </c>
      <c r="D19" s="144"/>
      <c r="E19" s="137"/>
      <c r="F19" s="132" t="s">
        <v>187</v>
      </c>
      <c r="G19" s="132" t="s">
        <v>198</v>
      </c>
      <c r="I19" s="156">
        <v>1</v>
      </c>
      <c r="J19" s="157" t="str">
        <f>VLOOKUP(I19,'Back-End'!$A$3:$C$5,2,FALSE)</f>
        <v>Bicycle Chart</v>
      </c>
      <c r="K19" s="158">
        <f>VLOOKUP(I19,'Back-End'!$A$3:$C$5,3,FALSE)</f>
        <v>10</v>
      </c>
      <c r="L19" s="146"/>
      <c r="M19" s="146"/>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row>
    <row r="20" spans="1:42" ht="15" customHeight="1" thickBot="1" x14ac:dyDescent="0.3">
      <c r="B20" s="130" t="s">
        <v>18</v>
      </c>
      <c r="C20" s="209">
        <v>0</v>
      </c>
      <c r="D20" s="144"/>
      <c r="E20" s="210" t="s">
        <v>21</v>
      </c>
      <c r="F20" s="211" t="str">
        <f>IFERROR((K26*((M12/1000*N12/1000))*(C22/130)),"-")</f>
        <v>-</v>
      </c>
      <c r="G20" s="211" t="str">
        <f>IFERROR((K26*((M12/1000*N12/1000))*(C23/300)),"-")</f>
        <v>-</v>
      </c>
      <c r="I20" s="150"/>
      <c r="J20" s="151" t="s">
        <v>6</v>
      </c>
      <c r="K20" s="151"/>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row>
    <row r="21" spans="1:42" s="146" customFormat="1" ht="15" customHeight="1" x14ac:dyDescent="0.25">
      <c r="B21" s="131" t="s">
        <v>28</v>
      </c>
      <c r="C21" s="131"/>
      <c r="D21" s="144"/>
      <c r="E21" s="210" t="s">
        <v>22</v>
      </c>
      <c r="F21" s="211" t="str">
        <f>IFERROR(((M12/1000*N12/1000))*(F24),"-")</f>
        <v>-</v>
      </c>
      <c r="G21" s="211" t="str">
        <f>IFERROR(((M12/1000*N12/1000))*(F24),"-")</f>
        <v>-</v>
      </c>
      <c r="I21" s="150" t="s">
        <v>4</v>
      </c>
      <c r="J21" s="154" t="s">
        <v>5</v>
      </c>
      <c r="K21" s="155" t="s">
        <v>3</v>
      </c>
      <c r="L21" s="143"/>
      <c r="M21" s="143"/>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row>
    <row r="22" spans="1:42" ht="15" customHeight="1" thickBot="1" x14ac:dyDescent="0.3">
      <c r="B22" s="130" t="s">
        <v>71</v>
      </c>
      <c r="C22" s="218">
        <v>0</v>
      </c>
      <c r="D22" s="144"/>
      <c r="E22" s="215" t="s">
        <v>23</v>
      </c>
      <c r="F22" s="216" t="str">
        <f>IFERROR(F20+F21,"-")</f>
        <v>-</v>
      </c>
      <c r="G22" s="216" t="str">
        <f>IFERROR(G20+G21,"-")</f>
        <v>-</v>
      </c>
      <c r="I22" s="150">
        <v>1</v>
      </c>
      <c r="J22" s="170" t="str">
        <f>VLOOKUP($I22,'Back-End'!$D$3:$F$7,2,FALSE)</f>
        <v>Heavyweight Coated Paper</v>
      </c>
      <c r="K22" s="171">
        <f>VLOOKUP($I22,'Back-End'!$D$3:$F$7,3,FALSE)</f>
        <v>1</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row>
    <row r="23" spans="1:42" ht="15" customHeight="1" x14ac:dyDescent="0.25">
      <c r="B23" s="130" t="s">
        <v>197</v>
      </c>
      <c r="C23" s="209">
        <v>0</v>
      </c>
      <c r="D23" s="144"/>
      <c r="E23" s="210" t="s">
        <v>113</v>
      </c>
      <c r="F23" s="212" t="str">
        <f>IFERROR(F20/((M12/1000*N12/1000)),"-")</f>
        <v>-</v>
      </c>
      <c r="G23" s="212" t="str">
        <f>IFERROR(G20/((M12/1000*N12/1000)),"-")</f>
        <v>-</v>
      </c>
      <c r="I23" s="156"/>
      <c r="J23" s="156"/>
      <c r="K23" s="156"/>
      <c r="L23" s="146"/>
      <c r="M23" s="146"/>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row>
    <row r="24" spans="1:42" s="146" customFormat="1" ht="15" customHeight="1" thickBot="1" x14ac:dyDescent="0.3">
      <c r="B24" s="131" t="s">
        <v>200</v>
      </c>
      <c r="C24" s="132"/>
      <c r="D24" s="139"/>
      <c r="E24" s="213" t="s">
        <v>114</v>
      </c>
      <c r="F24" s="211" t="str">
        <f>IFERROR(C20/((M15*M9/1000)),"-")</f>
        <v>-</v>
      </c>
      <c r="G24" s="211" t="str">
        <f>IFERROR(C20/((M15*M9/1000)),"-")</f>
        <v>-</v>
      </c>
      <c r="H24" s="144"/>
      <c r="I24" s="150"/>
      <c r="J24" s="153" t="s">
        <v>25</v>
      </c>
      <c r="K24" s="153"/>
      <c r="L24" s="143"/>
      <c r="M24" s="143"/>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row>
    <row r="25" spans="1:42" ht="15" customHeight="1" x14ac:dyDescent="0.25">
      <c r="D25" s="144"/>
      <c r="E25" s="215" t="s">
        <v>115</v>
      </c>
      <c r="F25" s="217" t="str">
        <f>IFERROR(F23+F24,"-")</f>
        <v>-</v>
      </c>
      <c r="G25" s="217" t="str">
        <f>IFERROR(G23+G24,"-")</f>
        <v>-</v>
      </c>
      <c r="H25" s="144"/>
      <c r="I25" s="150" t="s">
        <v>7</v>
      </c>
      <c r="J25" s="154" t="s">
        <v>13</v>
      </c>
      <c r="K25" s="155" t="s">
        <v>14</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row>
    <row r="26" spans="1:42" ht="15" customHeight="1" thickBot="1" x14ac:dyDescent="0.3">
      <c r="B26" s="140" t="s">
        <v>180</v>
      </c>
      <c r="C26" s="141" t="s">
        <v>181</v>
      </c>
      <c r="D26" s="144"/>
      <c r="E26" s="210" t="s">
        <v>199</v>
      </c>
      <c r="F26" s="214" t="str">
        <f>IFERROR((330*12)/(K26)/(M12/1000*N12/1000),"-")</f>
        <v>-</v>
      </c>
      <c r="G26" s="214" t="str">
        <f>IFERROR((700*12)/(K26)/(M12/1000*N12/1000),"-")</f>
        <v>-</v>
      </c>
      <c r="H26" s="144"/>
      <c r="I26" s="156">
        <f>K19+K22</f>
        <v>11</v>
      </c>
      <c r="J26" s="157" t="str">
        <f>VLOOKUP($I26,'Back-End'!$H$3:$K$17,2,FALSE)</f>
        <v>Bicycle Chart- HW Coated</v>
      </c>
      <c r="K26" s="158">
        <f>VLOOKUP($I26,'Back-End'!$H$3:$K$17,3,FALSE)</f>
        <v>5.6812800000000001</v>
      </c>
      <c r="L26" s="146"/>
      <c r="M26" s="146"/>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row>
    <row r="27" spans="1:42" ht="23.25" x14ac:dyDescent="0.25">
      <c r="B27" s="142" t="str">
        <f>IFERROR(M12,"-")</f>
        <v>-</v>
      </c>
      <c r="C27" s="142" t="str">
        <f>IFERROR(N12,"-")</f>
        <v>-</v>
      </c>
      <c r="D27" s="144"/>
      <c r="E27" s="144"/>
      <c r="F27" s="144"/>
      <c r="G27" s="144"/>
      <c r="H27" s="144"/>
      <c r="I27" s="144"/>
      <c r="J27" s="144"/>
      <c r="K27" s="144"/>
      <c r="L27" s="144"/>
      <c r="M27" s="144"/>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row>
    <row r="28" spans="1:42" ht="23.25" x14ac:dyDescent="0.25">
      <c r="E28" s="144"/>
      <c r="F28" s="144"/>
      <c r="G28" s="144"/>
      <c r="H28" s="144"/>
      <c r="I28" s="144"/>
      <c r="J28" s="144"/>
      <c r="K28" s="144"/>
      <c r="L28" s="144"/>
      <c r="M28" s="144"/>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row>
    <row r="29" spans="1:42" ht="21.75" customHeight="1" x14ac:dyDescent="0.25">
      <c r="C29" s="235"/>
      <c r="D29" s="235"/>
      <c r="E29" s="235"/>
      <c r="F29" s="235"/>
      <c r="G29" s="145"/>
      <c r="H29" s="145"/>
      <c r="I29" s="145"/>
      <c r="J29" s="145"/>
      <c r="K29" s="145"/>
      <c r="L29" s="145"/>
      <c r="M29" s="145"/>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row>
    <row r="30" spans="1:42" ht="9.75" customHeight="1" x14ac:dyDescent="0.25">
      <c r="C30" s="235"/>
      <c r="D30" s="235"/>
      <c r="E30" s="235"/>
      <c r="F30" s="235"/>
      <c r="G30" s="145"/>
      <c r="H30" s="145"/>
      <c r="I30" s="145"/>
      <c r="J30" s="145"/>
      <c r="K30" s="145"/>
      <c r="L30" s="145"/>
      <c r="M30" s="145"/>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row>
    <row r="31" spans="1:42" ht="23.25" x14ac:dyDescent="0.25">
      <c r="A31" s="148"/>
      <c r="B31" s="148"/>
      <c r="C31" s="148"/>
      <c r="D31" s="148"/>
      <c r="E31" s="172"/>
      <c r="F31" s="172"/>
      <c r="G31" s="172"/>
      <c r="H31" s="172"/>
      <c r="I31" s="173"/>
      <c r="J31" s="173"/>
      <c r="K31" s="173"/>
      <c r="L31" s="173"/>
      <c r="M31" s="173"/>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row>
    <row r="32" spans="1:42" ht="23.25" x14ac:dyDescent="0.25">
      <c r="A32" s="148"/>
      <c r="B32" s="148"/>
      <c r="C32" s="148"/>
      <c r="D32" s="148"/>
      <c r="E32" s="172"/>
      <c r="F32" s="172"/>
      <c r="G32" s="172"/>
      <c r="H32" s="172"/>
      <c r="I32" s="172"/>
      <c r="J32" s="172"/>
      <c r="K32" s="172"/>
      <c r="L32" s="172"/>
      <c r="M32" s="172"/>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row>
    <row r="33" spans="1:42" ht="23.25" x14ac:dyDescent="0.25">
      <c r="A33" s="148"/>
      <c r="B33" s="148"/>
      <c r="C33" s="148"/>
      <c r="D33" s="148"/>
      <c r="E33" s="172"/>
      <c r="F33" s="172"/>
      <c r="G33" s="172"/>
      <c r="H33" s="172"/>
      <c r="I33" s="172"/>
      <c r="J33" s="172"/>
      <c r="K33" s="172"/>
      <c r="L33" s="172"/>
      <c r="M33" s="172"/>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row>
    <row r="34" spans="1:42" ht="23.25" x14ac:dyDescent="0.25">
      <c r="A34" s="148"/>
      <c r="B34" s="148"/>
      <c r="C34" s="148"/>
      <c r="D34" s="148"/>
      <c r="E34" s="172"/>
      <c r="F34" s="172"/>
      <c r="G34" s="172"/>
      <c r="H34" s="172"/>
      <c r="I34" s="172"/>
      <c r="J34" s="172"/>
      <c r="K34" s="172"/>
      <c r="L34" s="172"/>
      <c r="M34" s="172"/>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row>
    <row r="35" spans="1:42" ht="23.25" x14ac:dyDescent="0.25">
      <c r="A35" s="148"/>
      <c r="B35" s="148"/>
      <c r="C35" s="148"/>
      <c r="D35" s="148"/>
      <c r="E35" s="172"/>
      <c r="F35" s="172"/>
      <c r="G35" s="172"/>
      <c r="H35" s="172"/>
      <c r="I35" s="172"/>
      <c r="J35" s="172"/>
      <c r="K35" s="172"/>
      <c r="L35" s="172"/>
      <c r="M35" s="172"/>
      <c r="N35" s="148"/>
      <c r="O35" s="148"/>
      <c r="P35" s="148"/>
      <c r="Q35" s="148"/>
      <c r="R35" s="148"/>
      <c r="S35" s="148"/>
      <c r="T35" s="148"/>
      <c r="U35" s="148"/>
      <c r="V35" s="148"/>
      <c r="W35" s="148"/>
      <c r="X35" s="148"/>
      <c r="Y35" s="148"/>
      <c r="Z35" s="148"/>
      <c r="AA35" s="148"/>
      <c r="AB35" s="148"/>
    </row>
    <row r="36" spans="1:42" ht="23.25" x14ac:dyDescent="0.25">
      <c r="A36" s="148"/>
      <c r="B36" s="148"/>
      <c r="C36" s="148"/>
      <c r="D36" s="148"/>
      <c r="E36" s="172"/>
      <c r="F36" s="172"/>
      <c r="G36" s="172"/>
      <c r="H36" s="172"/>
      <c r="I36" s="172"/>
      <c r="J36" s="172"/>
      <c r="K36" s="172"/>
      <c r="L36" s="172"/>
      <c r="M36" s="172"/>
      <c r="N36" s="148"/>
      <c r="O36" s="148"/>
      <c r="P36" s="148"/>
      <c r="Q36" s="148"/>
      <c r="R36" s="148"/>
      <c r="S36" s="148"/>
      <c r="T36" s="148"/>
      <c r="U36" s="148"/>
      <c r="V36" s="148"/>
      <c r="W36" s="148"/>
      <c r="X36" s="148"/>
      <c r="Y36" s="148"/>
      <c r="Z36" s="148"/>
      <c r="AA36" s="148"/>
      <c r="AB36" s="148"/>
    </row>
    <row r="37" spans="1:42" ht="23.25" x14ac:dyDescent="0.25">
      <c r="A37" s="148"/>
      <c r="B37" s="148"/>
      <c r="C37" s="148"/>
      <c r="D37" s="148"/>
      <c r="E37" s="174"/>
      <c r="F37" s="174"/>
      <c r="G37" s="174"/>
      <c r="H37" s="174"/>
      <c r="I37" s="174"/>
      <c r="J37" s="174"/>
      <c r="K37" s="174"/>
      <c r="L37" s="174"/>
      <c r="M37" s="174"/>
      <c r="N37" s="148"/>
      <c r="O37" s="148"/>
      <c r="P37" s="148"/>
      <c r="Q37" s="148"/>
      <c r="R37" s="148"/>
      <c r="S37" s="148"/>
      <c r="T37" s="148"/>
      <c r="U37" s="148"/>
      <c r="V37" s="148"/>
      <c r="W37" s="148"/>
      <c r="X37" s="148"/>
      <c r="Y37" s="148"/>
      <c r="Z37" s="148"/>
      <c r="AA37" s="148"/>
      <c r="AB37" s="148"/>
    </row>
    <row r="38" spans="1:42" x14ac:dyDescent="0.2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row>
    <row r="39" spans="1:42" x14ac:dyDescent="0.25">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row>
    <row r="40" spans="1:42" x14ac:dyDescent="0.25">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row>
    <row r="41" spans="1:42" x14ac:dyDescent="0.25">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row>
    <row r="42" spans="1:42" x14ac:dyDescent="0.2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48"/>
      <c r="AA42" s="148"/>
      <c r="AB42" s="148"/>
    </row>
    <row r="43" spans="1:42" x14ac:dyDescent="0.2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48"/>
      <c r="AA43" s="148"/>
      <c r="AB43" s="148"/>
    </row>
    <row r="44" spans="1:42" x14ac:dyDescent="0.2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row>
    <row r="45" spans="1:42" x14ac:dyDescent="0.2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row>
    <row r="46" spans="1:42" x14ac:dyDescent="0.2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row>
    <row r="47" spans="1:42" x14ac:dyDescent="0.2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row>
    <row r="48" spans="1:42" x14ac:dyDescent="0.2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row>
    <row r="49" spans="1:25" x14ac:dyDescent="0.2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row>
    <row r="50" spans="1:25" x14ac:dyDescent="0.2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row>
    <row r="51" spans="1:25" x14ac:dyDescent="0.25">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row>
    <row r="52" spans="1:25" x14ac:dyDescent="0.25">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row>
    <row r="53" spans="1:25" x14ac:dyDescent="0.25">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row>
    <row r="54" spans="1:25" x14ac:dyDescent="0.25">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row>
    <row r="55" spans="1:25" x14ac:dyDescent="0.25">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row>
    <row r="56" spans="1:25" x14ac:dyDescent="0.25">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row>
    <row r="57" spans="1:25" x14ac:dyDescent="0.2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row>
    <row r="58" spans="1:25" x14ac:dyDescent="0.25">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row>
  </sheetData>
  <sheetProtection algorithmName="SHA-512" hashValue="F9dmVP3MM4V/YurK8zxYg2PZ6WH31McJseVZK2ff3Erkhl1nh0WLB/jNcWDWmnkemvzqcVWHOI6fa4muAnzNeA==" saltValue="bqtKYOukA8CvLr/gaShzsQ==" spinCount="100000" sheet="1" objects="1" selectLockedCells="1"/>
  <mergeCells count="1">
    <mergeCell ref="C29:F30"/>
  </mergeCells>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27649" r:id="rId5" name="Drop Down 1">
              <controlPr locked="0" defaultSize="0" autoLine="0" autoPict="0">
                <anchor moveWithCells="1">
                  <from>
                    <xdr:col>2</xdr:col>
                    <xdr:colOff>0</xdr:colOff>
                    <xdr:row>14</xdr:row>
                    <xdr:rowOff>0</xdr:rowOff>
                  </from>
                  <to>
                    <xdr:col>3</xdr:col>
                    <xdr:colOff>533400</xdr:colOff>
                    <xdr:row>15</xdr:row>
                    <xdr:rowOff>19050</xdr:rowOff>
                  </to>
                </anchor>
              </controlPr>
            </control>
          </mc:Choice>
        </mc:AlternateContent>
        <mc:AlternateContent xmlns:mc="http://schemas.openxmlformats.org/markup-compatibility/2006">
          <mc:Choice Requires="x14">
            <control shapeId="27650" r:id="rId6" name="Drop Down 2">
              <controlPr locked="0" defaultSize="0" autoLine="0" autoPict="0">
                <anchor moveWithCells="1">
                  <from>
                    <xdr:col>2</xdr:col>
                    <xdr:colOff>0</xdr:colOff>
                    <xdr:row>15</xdr:row>
                    <xdr:rowOff>0</xdr:rowOff>
                  </from>
                  <to>
                    <xdr:col>3</xdr:col>
                    <xdr:colOff>533400</xdr:colOff>
                    <xdr:row>16</xdr:row>
                    <xdr:rowOff>9525</xdr:rowOff>
                  </to>
                </anchor>
              </controlPr>
            </control>
          </mc:Choice>
        </mc:AlternateContent>
        <mc:AlternateContent xmlns:mc="http://schemas.openxmlformats.org/markup-compatibility/2006">
          <mc:Choice Requires="x14">
            <control shapeId="27651" r:id="rId7" name="Drop Down 3">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mc:AlternateContent xmlns:mc="http://schemas.openxmlformats.org/markup-compatibility/2006">
          <mc:Choice Requires="x14">
            <control shapeId="27652" r:id="rId8" name="Drop Down 4">
              <controlPr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27653" r:id="rId9" name="Drop Down 5">
              <controlPr defaultSize="0" autoLine="0" autoPict="0">
                <anchor moveWithCells="1">
                  <from>
                    <xdr:col>1</xdr:col>
                    <xdr:colOff>1676400</xdr:colOff>
                    <xdr:row>17</xdr:row>
                    <xdr:rowOff>180975</xdr:rowOff>
                  </from>
                  <to>
                    <xdr:col>3</xdr:col>
                    <xdr:colOff>9525</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indexed="60"/>
    <pageSetUpPr autoPageBreaks="0" fitToPage="1"/>
  </sheetPr>
  <dimension ref="A1:AP58"/>
  <sheetViews>
    <sheetView showGridLines="0" workbookViewId="0">
      <selection activeCell="C20" sqref="C20"/>
    </sheetView>
  </sheetViews>
  <sheetFormatPr defaultRowHeight="15" x14ac:dyDescent="0.25"/>
  <cols>
    <col min="1" max="1" width="9.140625" customWidth="1"/>
    <col min="2" max="2" width="25.28515625" customWidth="1"/>
    <col min="3" max="3" width="22.5703125" customWidth="1"/>
    <col min="4" max="4" width="20.5703125" bestFit="1" customWidth="1"/>
    <col min="5" max="5" width="17.5703125" customWidth="1"/>
    <col min="6" max="6" width="16.85546875" customWidth="1"/>
    <col min="7" max="7" width="18.42578125" customWidth="1"/>
    <col min="8" max="8" width="6.5703125" customWidth="1"/>
    <col min="9" max="9" width="13.7109375" hidden="1" customWidth="1"/>
    <col min="10" max="10" width="33.7109375" hidden="1" customWidth="1"/>
    <col min="11" max="11" width="10.7109375" hidden="1" customWidth="1"/>
    <col min="12" max="12" width="13.7109375" hidden="1" customWidth="1"/>
    <col min="13" max="13" width="33.7109375" hidden="1" customWidth="1"/>
    <col min="14" max="14" width="10.7109375" hidden="1" customWidth="1"/>
    <col min="15" max="15" width="9.140625" hidden="1" customWidth="1"/>
    <col min="17" max="17" width="12.85546875" customWidth="1"/>
    <col min="18" max="18" width="29.42578125" customWidth="1"/>
    <col min="19" max="19" width="6.140625" customWidth="1"/>
    <col min="20" max="20" width="13.7109375" customWidth="1"/>
    <col min="21" max="21" width="33.7109375" customWidth="1"/>
    <col min="22" max="22" width="7.5703125" customWidth="1"/>
    <col min="25" max="25" width="5.7109375" customWidth="1"/>
  </cols>
  <sheetData>
    <row r="1" spans="1:42" ht="15" customHeight="1" x14ac:dyDescent="0.25">
      <c r="A1" s="65"/>
      <c r="B1" s="83"/>
      <c r="C1" s="83"/>
      <c r="D1" s="83"/>
      <c r="E1" s="83"/>
      <c r="F1" s="83"/>
      <c r="G1" s="83"/>
      <c r="H1" s="83"/>
      <c r="I1" s="83"/>
      <c r="J1" s="83"/>
      <c r="K1" s="83"/>
      <c r="L1" s="83"/>
      <c r="M1" s="83"/>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row>
    <row r="2" spans="1:42" x14ac:dyDescent="0.25">
      <c r="A2" s="83"/>
      <c r="B2" s="83"/>
      <c r="C2" s="83"/>
      <c r="D2" s="83"/>
      <c r="E2" s="83"/>
      <c r="F2" s="83"/>
      <c r="G2" s="83"/>
      <c r="H2" s="83"/>
      <c r="I2" s="83"/>
      <c r="J2" s="83"/>
      <c r="K2" s="83"/>
      <c r="L2" s="83"/>
      <c r="M2" s="83"/>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row>
    <row r="3" spans="1:42" ht="13.5" customHeight="1" x14ac:dyDescent="0.25">
      <c r="A3" s="10"/>
      <c r="B3" s="10"/>
      <c r="C3" s="10"/>
      <c r="D3" s="10"/>
      <c r="E3" s="10"/>
      <c r="F3" s="10"/>
      <c r="G3" s="10"/>
      <c r="H3" s="10"/>
      <c r="I3" s="10"/>
      <c r="J3" s="10"/>
      <c r="K3" s="10"/>
      <c r="L3" s="10"/>
      <c r="M3" s="10"/>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row>
    <row r="4" spans="1:42" ht="15" customHeight="1" x14ac:dyDescent="0.25">
      <c r="A4" s="10"/>
      <c r="B4" s="10"/>
      <c r="C4" s="10"/>
      <c r="D4" s="10"/>
      <c r="E4" s="10"/>
      <c r="F4" s="10"/>
      <c r="G4" s="10"/>
      <c r="H4" s="10"/>
      <c r="I4" s="10"/>
      <c r="J4" s="10"/>
      <c r="K4" s="10"/>
      <c r="L4" s="10"/>
      <c r="M4" s="10"/>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row>
    <row r="5" spans="1:42" ht="15" customHeight="1" x14ac:dyDescent="0.25">
      <c r="B5" s="34"/>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15" customHeight="1" x14ac:dyDescent="0.25">
      <c r="B6" s="34"/>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row>
    <row r="7" spans="1:42" ht="15" customHeight="1" thickBot="1" x14ac:dyDescent="0.3">
      <c r="B7" s="36" t="s">
        <v>117</v>
      </c>
      <c r="C7" s="36" t="s">
        <v>183</v>
      </c>
      <c r="D7" s="36" t="s">
        <v>184</v>
      </c>
      <c r="I7" s="11"/>
      <c r="J7" s="12" t="s">
        <v>6</v>
      </c>
      <c r="K7" s="13"/>
      <c r="L7" s="11"/>
      <c r="M7" s="21" t="s">
        <v>25</v>
      </c>
      <c r="N7" s="21"/>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row>
    <row r="8" spans="1:42" ht="15" customHeight="1" x14ac:dyDescent="0.25">
      <c r="B8" s="34"/>
      <c r="I8" s="11" t="s">
        <v>4</v>
      </c>
      <c r="J8" s="14" t="s">
        <v>120</v>
      </c>
      <c r="K8" s="15" t="s">
        <v>3</v>
      </c>
      <c r="L8" s="11" t="s">
        <v>7</v>
      </c>
      <c r="M8" s="14" t="s">
        <v>170</v>
      </c>
      <c r="N8" s="15"/>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row>
    <row r="9" spans="1:42" ht="15" customHeight="1" thickBot="1" x14ac:dyDescent="0.3">
      <c r="B9" s="34"/>
      <c r="I9" s="16">
        <v>1</v>
      </c>
      <c r="J9" s="17" t="str">
        <f>VLOOKUP(I9,'Back-End'!$A$119:$C$138,2,FALSE)</f>
        <v>Click to select width…</v>
      </c>
      <c r="K9" s="18">
        <f>VLOOKUP(I9,'Back-End'!$A$119:$C$138,3,FALSE)</f>
        <v>0</v>
      </c>
      <c r="L9" s="16">
        <f>I9+K9</f>
        <v>1</v>
      </c>
      <c r="M9" s="45">
        <f>VLOOKUP($L9,'Back-End'!$H$119:$I$138,2,FALSE)</f>
        <v>0</v>
      </c>
      <c r="N9" s="44"/>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row>
    <row r="10" spans="1:42" ht="15" customHeight="1" thickBot="1" x14ac:dyDescent="0.3">
      <c r="B10" s="34"/>
      <c r="I10" s="11"/>
      <c r="J10" s="12" t="s">
        <v>6</v>
      </c>
      <c r="K10" s="13"/>
      <c r="L10" s="11"/>
      <c r="M10" s="21" t="s">
        <v>25</v>
      </c>
      <c r="N10" s="21"/>
      <c r="P10" s="22"/>
      <c r="Q10" s="56"/>
      <c r="R10" s="57"/>
      <c r="S10" s="58"/>
      <c r="T10" s="56"/>
      <c r="U10" s="57"/>
      <c r="V10" s="57"/>
      <c r="W10" s="22"/>
      <c r="X10" s="22"/>
      <c r="Y10" s="22"/>
      <c r="Z10" s="22"/>
      <c r="AA10" s="22"/>
      <c r="AB10" s="22"/>
      <c r="AC10" s="22"/>
      <c r="AD10" s="22"/>
      <c r="AE10" s="22"/>
      <c r="AF10" s="22"/>
      <c r="AG10" s="22"/>
      <c r="AH10" s="22"/>
      <c r="AI10" s="22"/>
      <c r="AJ10" s="22"/>
      <c r="AK10" s="22"/>
      <c r="AL10" s="22"/>
      <c r="AM10" s="22"/>
      <c r="AN10" s="22"/>
      <c r="AO10" s="22"/>
      <c r="AP10" s="22"/>
    </row>
    <row r="11" spans="1:42" ht="15" customHeight="1" x14ac:dyDescent="0.25">
      <c r="B11" s="34"/>
      <c r="I11" s="11" t="s">
        <v>4</v>
      </c>
      <c r="J11" s="14" t="s">
        <v>148</v>
      </c>
      <c r="K11" s="15" t="s">
        <v>3</v>
      </c>
      <c r="L11" s="11" t="s">
        <v>7</v>
      </c>
      <c r="M11" s="14" t="s">
        <v>170</v>
      </c>
      <c r="N11" s="15" t="s">
        <v>171</v>
      </c>
      <c r="P11" s="22"/>
      <c r="Q11" s="56"/>
      <c r="R11" s="56"/>
      <c r="S11" s="56"/>
      <c r="T11" s="56"/>
      <c r="U11" s="56"/>
      <c r="V11" s="56"/>
      <c r="W11" s="22"/>
      <c r="X11" s="22"/>
      <c r="Y11" s="22"/>
      <c r="Z11" s="22"/>
      <c r="AA11" s="22"/>
      <c r="AB11" s="22"/>
      <c r="AC11" s="22"/>
      <c r="AD11" s="22"/>
      <c r="AE11" s="22"/>
      <c r="AF11" s="22"/>
      <c r="AG11" s="22"/>
      <c r="AH11" s="22"/>
      <c r="AI11" s="22"/>
      <c r="AJ11" s="22"/>
      <c r="AK11" s="22"/>
      <c r="AL11" s="22"/>
      <c r="AM11" s="22"/>
      <c r="AN11" s="22"/>
      <c r="AO11" s="22"/>
      <c r="AP11" s="22"/>
    </row>
    <row r="12" spans="1:42" s="7" customFormat="1" ht="15" customHeight="1" thickBot="1" x14ac:dyDescent="0.3">
      <c r="I12" s="16">
        <v>1</v>
      </c>
      <c r="J12" s="17" t="str">
        <f>VLOOKUP(I12,'Back-End'!$A$143:$C$163,2,FALSE)</f>
        <v>Click to select size…</v>
      </c>
      <c r="K12" s="18">
        <f>VLOOKUP(I12,'Back-End'!$A$143:$C$1166,3,FALSE)</f>
        <v>0</v>
      </c>
      <c r="L12" s="16">
        <f>I12+K12</f>
        <v>1</v>
      </c>
      <c r="M12" s="45" t="e">
        <f>VLOOKUP($L12,'Back-End'!$H$144:$I$164,2,FALSE)</f>
        <v>#N/A</v>
      </c>
      <c r="N12" s="45" t="e">
        <f>VLOOKUP($L12,'Back-End'!$J$144:$K$164,2,FALSE)</f>
        <v>#N/A</v>
      </c>
      <c r="P12" s="49"/>
      <c r="Q12" s="59"/>
      <c r="R12" s="59"/>
      <c r="S12" s="59"/>
      <c r="T12" s="59"/>
      <c r="U12" s="60"/>
      <c r="V12" s="60"/>
      <c r="W12" s="49"/>
      <c r="X12" s="49"/>
      <c r="Y12" s="49"/>
      <c r="Z12" s="49"/>
      <c r="AA12" s="49"/>
      <c r="AB12" s="49"/>
      <c r="AC12" s="49"/>
      <c r="AD12" s="49"/>
      <c r="AE12" s="49"/>
      <c r="AF12" s="49"/>
      <c r="AG12" s="49"/>
      <c r="AH12" s="49"/>
      <c r="AI12" s="49"/>
      <c r="AJ12" s="49"/>
      <c r="AK12" s="49"/>
      <c r="AL12" s="49"/>
      <c r="AM12" s="49"/>
      <c r="AN12" s="49"/>
      <c r="AO12" s="49"/>
      <c r="AP12" s="49"/>
    </row>
    <row r="13" spans="1:42" ht="15" customHeight="1" thickBot="1" x14ac:dyDescent="0.3">
      <c r="B13" s="37" t="s">
        <v>72</v>
      </c>
      <c r="C13" s="37" t="s">
        <v>185</v>
      </c>
      <c r="D13" s="37" t="s">
        <v>186</v>
      </c>
      <c r="I13" s="11"/>
      <c r="J13" s="12" t="s">
        <v>6</v>
      </c>
      <c r="K13" s="13"/>
      <c r="L13" s="11"/>
      <c r="M13" s="21" t="s">
        <v>25</v>
      </c>
      <c r="N13" s="21"/>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row>
    <row r="14" spans="1:42" ht="15" customHeight="1" x14ac:dyDescent="0.3">
      <c r="B14" s="35"/>
      <c r="I14" s="11" t="s">
        <v>4</v>
      </c>
      <c r="J14" s="14" t="s">
        <v>147</v>
      </c>
      <c r="K14" s="15" t="s">
        <v>3</v>
      </c>
      <c r="L14" s="11" t="s">
        <v>7</v>
      </c>
      <c r="M14" s="14" t="s">
        <v>172</v>
      </c>
      <c r="N14" s="15"/>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2" ht="15" customHeight="1" thickBot="1" x14ac:dyDescent="0.3">
      <c r="B15" s="29" t="s">
        <v>24</v>
      </c>
      <c r="C15" s="26"/>
      <c r="I15" s="16">
        <v>1</v>
      </c>
      <c r="J15" s="17" t="str">
        <f>VLOOKUP(I15,'Back-End'!$D$119:$F$127,2,FALSE)</f>
        <v>Click to select length…</v>
      </c>
      <c r="K15" s="18">
        <f>VLOOKUP(I15,'Back-End'!$D$119:$F$127,3,FALSE)</f>
        <v>1</v>
      </c>
      <c r="L15" s="16">
        <f>I15+K15</f>
        <v>2</v>
      </c>
      <c r="M15" s="45" t="e">
        <f>VLOOKUP($L15,'Back-End'!$J$120:$K$127,2,FALSE)</f>
        <v>#N/A</v>
      </c>
      <c r="N15" s="44"/>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2" ht="15" customHeight="1" x14ac:dyDescent="0.25">
      <c r="B16" s="29" t="s">
        <v>17</v>
      </c>
      <c r="C16" s="26"/>
      <c r="D16" s="24"/>
      <c r="E16" s="24"/>
      <c r="F16" s="24"/>
      <c r="J16" s="24"/>
      <c r="K16" s="24"/>
      <c r="L16" s="24"/>
      <c r="M16" s="24"/>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3" customFormat="1" ht="15" customHeight="1" thickBot="1" x14ac:dyDescent="0.3">
      <c r="A17" s="24"/>
      <c r="B17" s="28" t="s">
        <v>29</v>
      </c>
      <c r="C17" s="28"/>
      <c r="D17" s="24"/>
      <c r="E17" s="24"/>
      <c r="F17" s="24"/>
      <c r="I17" s="11"/>
      <c r="J17" s="12" t="s">
        <v>6</v>
      </c>
      <c r="K17" s="13"/>
      <c r="L17"/>
      <c r="M17"/>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row>
    <row r="18" spans="1:42" ht="15" customHeight="1" x14ac:dyDescent="0.25">
      <c r="B18" s="29" t="s">
        <v>111</v>
      </c>
      <c r="C18" s="33">
        <v>0</v>
      </c>
      <c r="D18" s="24"/>
      <c r="E18" s="28" t="s">
        <v>26</v>
      </c>
      <c r="F18" s="30"/>
      <c r="G18" s="28"/>
      <c r="I18" s="11" t="s">
        <v>4</v>
      </c>
      <c r="J18" s="14" t="s">
        <v>5</v>
      </c>
      <c r="K18" s="15" t="s">
        <v>3</v>
      </c>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2" ht="15" customHeight="1" thickBot="1" x14ac:dyDescent="0.3">
      <c r="B19" s="29" t="s">
        <v>112</v>
      </c>
      <c r="C19" s="33">
        <v>0</v>
      </c>
      <c r="D19" s="24"/>
      <c r="E19" s="31"/>
      <c r="F19" s="25" t="s">
        <v>187</v>
      </c>
      <c r="G19" s="25" t="s">
        <v>198</v>
      </c>
      <c r="I19" s="16">
        <v>1</v>
      </c>
      <c r="J19" s="17" t="str">
        <f>VLOOKUP(I19,'Back-End'!$A$39:$C$41,2,FALSE)</f>
        <v>Bicycle Chart</v>
      </c>
      <c r="K19" s="18">
        <f>VLOOKUP(I19,'Back-End'!$A$39:$C$41,3,FALSE)</f>
        <v>10</v>
      </c>
      <c r="L19" s="3"/>
      <c r="M19" s="3"/>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ht="15" customHeight="1" thickBot="1" x14ac:dyDescent="0.3">
      <c r="B20" s="29" t="s">
        <v>18</v>
      </c>
      <c r="C20" s="46">
        <v>0</v>
      </c>
      <c r="D20" s="24"/>
      <c r="E20" s="29" t="s">
        <v>21</v>
      </c>
      <c r="F20" s="32" t="str">
        <f>IFERROR((K26*((M12/1000*N12/1000))*(C22/130)),"-")</f>
        <v>-</v>
      </c>
      <c r="G20" s="32" t="str">
        <f>IFERROR((K26*((M12/1000*N12/1000))*(C23/300)),"-")</f>
        <v>-</v>
      </c>
      <c r="I20" s="11"/>
      <c r="J20" s="12" t="s">
        <v>6</v>
      </c>
      <c r="K20" s="1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s="3" customFormat="1" ht="15" customHeight="1" x14ac:dyDescent="0.25">
      <c r="B21" s="28" t="s">
        <v>28</v>
      </c>
      <c r="C21" s="28"/>
      <c r="D21" s="24"/>
      <c r="E21" s="29" t="s">
        <v>22</v>
      </c>
      <c r="F21" s="32" t="str">
        <f>IFERROR(((M12/1000*N12/1000))*(F24),"-")</f>
        <v>-</v>
      </c>
      <c r="G21" s="32" t="str">
        <f>IFERROR((M12/1000*N12/1000)*(F24),"-")</f>
        <v>-</v>
      </c>
      <c r="I21" s="11" t="s">
        <v>4</v>
      </c>
      <c r="J21" s="14" t="s">
        <v>5</v>
      </c>
      <c r="K21" s="15" t="s">
        <v>3</v>
      </c>
      <c r="L21"/>
      <c r="M21"/>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row>
    <row r="22" spans="1:42" ht="15" customHeight="1" thickBot="1" x14ac:dyDescent="0.3">
      <c r="B22" s="29" t="s">
        <v>71</v>
      </c>
      <c r="C22" s="47">
        <v>0</v>
      </c>
      <c r="D22" s="24"/>
      <c r="E22" s="88" t="s">
        <v>23</v>
      </c>
      <c r="F22" s="89" t="str">
        <f>IFERROR(F20+F21,"-")</f>
        <v>-</v>
      </c>
      <c r="G22" s="89" t="str">
        <f>IFERROR(G20+G21,"-")</f>
        <v>-</v>
      </c>
      <c r="I22" s="11">
        <v>1</v>
      </c>
      <c r="J22" s="19" t="str">
        <f>VLOOKUP($I22,'Back-End'!$D$39:$F$46,2,FALSE)</f>
        <v>HW Coated Paper</v>
      </c>
      <c r="K22" s="20">
        <f>VLOOKUP($I22,'Back-End'!$D$39:$F$46,3,FALSE)</f>
        <v>1</v>
      </c>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row>
    <row r="23" spans="1:42" ht="15" customHeight="1" x14ac:dyDescent="0.25">
      <c r="B23" s="29" t="s">
        <v>197</v>
      </c>
      <c r="C23" s="47">
        <v>0</v>
      </c>
      <c r="D23" s="24"/>
      <c r="E23" s="29" t="s">
        <v>113</v>
      </c>
      <c r="F23" s="86" t="str">
        <f>IFERROR(F20/((M12/1000*N12/1000)),"-")</f>
        <v>-</v>
      </c>
      <c r="G23" s="86" t="str">
        <f>IFERROR(G20/((M12/1000*N12/1000)),"-")</f>
        <v>-</v>
      </c>
      <c r="I23" s="16"/>
      <c r="J23" s="16"/>
      <c r="K23" s="16"/>
      <c r="L23" s="3"/>
      <c r="M23" s="3"/>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1:42" s="3" customFormat="1" ht="15" customHeight="1" thickBot="1" x14ac:dyDescent="0.3">
      <c r="B24" s="28" t="s">
        <v>27</v>
      </c>
      <c r="C24" s="25"/>
      <c r="D24" s="42"/>
      <c r="E24" s="85" t="s">
        <v>114</v>
      </c>
      <c r="F24" s="32" t="str">
        <f>IFERROR(C20/((M15*M9/1000)),"-")</f>
        <v>-</v>
      </c>
      <c r="G24" s="32" t="str">
        <f>IFERROR(C20/((M15*M9/1000)),"-")</f>
        <v>-</v>
      </c>
      <c r="H24" s="24"/>
      <c r="I24" s="11"/>
      <c r="J24" s="21" t="s">
        <v>25</v>
      </c>
      <c r="K24" s="21"/>
      <c r="L24"/>
      <c r="M24"/>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row>
    <row r="25" spans="1:42" ht="15" customHeight="1" x14ac:dyDescent="0.25">
      <c r="D25" s="24"/>
      <c r="E25" s="48" t="s">
        <v>115</v>
      </c>
      <c r="F25" s="87" t="str">
        <f>IFERROR(F23+F24,"-")</f>
        <v>-</v>
      </c>
      <c r="G25" s="87" t="str">
        <f>IFERROR(G23+G24,"-")</f>
        <v>-</v>
      </c>
      <c r="H25" s="24"/>
      <c r="I25" s="11" t="s">
        <v>7</v>
      </c>
      <c r="J25" s="14" t="s">
        <v>13</v>
      </c>
      <c r="K25" s="15" t="s">
        <v>14</v>
      </c>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row>
    <row r="26" spans="1:42" ht="15" customHeight="1" thickBot="1" x14ac:dyDescent="0.3">
      <c r="B26" s="61" t="s">
        <v>180</v>
      </c>
      <c r="C26" s="53" t="s">
        <v>181</v>
      </c>
      <c r="D26" s="24"/>
      <c r="E26" s="29" t="s">
        <v>116</v>
      </c>
      <c r="F26" s="33" t="str">
        <f>IFERROR((130*8)/(K26)/(M12/1000*N12/1000),"-")</f>
        <v>-</v>
      </c>
      <c r="G26" s="33" t="str">
        <f>IFERROR((300*8)/(K26)/(M12/1000*N12/1000),"-")</f>
        <v>-</v>
      </c>
      <c r="H26" s="24"/>
      <c r="I26" s="16">
        <f>K19+K22</f>
        <v>11</v>
      </c>
      <c r="J26" s="17" t="str">
        <f>VLOOKUP($I26,'Back-End'!$H$39:$K$62,2,FALSE)</f>
        <v>Bicylce Chart- HW Coated</v>
      </c>
      <c r="K26" s="18">
        <f>VLOOKUP($I26,'Back-End'!$H$39:$K$62,3,FALSE)</f>
        <v>4.0457599999999996</v>
      </c>
      <c r="L26" s="3"/>
      <c r="M26" s="3"/>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row>
    <row r="27" spans="1:42" ht="15.75" x14ac:dyDescent="0.25">
      <c r="B27" s="54" t="str">
        <f>IFERROR(M12,"-")</f>
        <v>-</v>
      </c>
      <c r="C27" s="54" t="str">
        <f>IFERROR(N12,"-")</f>
        <v>-</v>
      </c>
      <c r="D27" s="24"/>
      <c r="E27" s="24"/>
      <c r="F27" s="24"/>
      <c r="G27" s="24"/>
      <c r="H27" s="24"/>
      <c r="I27" s="24"/>
      <c r="J27" s="24"/>
      <c r="K27" s="24"/>
      <c r="L27" s="24"/>
      <c r="M27" s="24"/>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row>
    <row r="28" spans="1:42" ht="15.75" x14ac:dyDescent="0.25">
      <c r="E28" s="24"/>
      <c r="F28" s="24"/>
      <c r="G28" s="24"/>
      <c r="H28" s="24"/>
      <c r="I28" s="24"/>
      <c r="J28" s="24"/>
      <c r="K28" s="24"/>
      <c r="L28" s="24"/>
      <c r="M28" s="24"/>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row>
    <row r="29" spans="1:42" ht="21.75" customHeight="1" x14ac:dyDescent="0.25">
      <c r="C29" s="236" t="s">
        <v>201</v>
      </c>
      <c r="D29" s="236"/>
      <c r="E29" s="236"/>
      <c r="F29" s="236"/>
      <c r="G29" s="26"/>
      <c r="H29" s="26"/>
      <c r="I29" s="26"/>
      <c r="J29" s="26"/>
      <c r="K29" s="26"/>
      <c r="L29" s="26"/>
      <c r="M29" s="26"/>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row>
    <row r="30" spans="1:42" ht="12" customHeight="1" x14ac:dyDescent="0.25">
      <c r="C30" s="236"/>
      <c r="D30" s="236"/>
      <c r="E30" s="236"/>
      <c r="F30" s="236"/>
      <c r="G30" s="26"/>
      <c r="H30" s="26"/>
      <c r="I30" s="26"/>
      <c r="J30" s="26"/>
      <c r="K30" s="26"/>
      <c r="L30" s="26"/>
      <c r="M30" s="26"/>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row>
    <row r="31" spans="1:42" ht="15.75" x14ac:dyDescent="0.25">
      <c r="A31" s="22"/>
      <c r="B31" s="22"/>
      <c r="C31" s="22"/>
      <c r="D31" s="22"/>
      <c r="E31" s="51"/>
      <c r="F31" s="51"/>
      <c r="G31" s="51"/>
      <c r="H31" s="51"/>
      <c r="I31" s="27"/>
      <c r="J31" s="27"/>
      <c r="K31" s="27"/>
      <c r="L31" s="27"/>
      <c r="M31" s="27"/>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row>
    <row r="32" spans="1:42" ht="15.75" x14ac:dyDescent="0.25">
      <c r="A32" s="22"/>
      <c r="B32" s="22"/>
      <c r="C32" s="22"/>
      <c r="D32" s="22"/>
      <c r="E32" s="51"/>
      <c r="F32" s="51"/>
      <c r="G32" s="51"/>
      <c r="H32" s="51"/>
      <c r="I32" s="51"/>
      <c r="J32" s="51"/>
      <c r="K32" s="51"/>
      <c r="L32" s="51"/>
      <c r="M32" s="51"/>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row>
    <row r="33" spans="1:42" ht="15.75" x14ac:dyDescent="0.25">
      <c r="A33" s="22"/>
      <c r="B33" s="22"/>
      <c r="C33" s="22"/>
      <c r="D33" s="22"/>
      <c r="E33" s="51"/>
      <c r="F33" s="51"/>
      <c r="G33" s="51"/>
      <c r="H33" s="51"/>
      <c r="I33" s="51"/>
      <c r="J33" s="51"/>
      <c r="K33" s="51"/>
      <c r="L33" s="51"/>
      <c r="M33" s="51"/>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row>
    <row r="34" spans="1:42" ht="15.75" x14ac:dyDescent="0.25">
      <c r="A34" s="22"/>
      <c r="B34" s="22"/>
      <c r="C34" s="22"/>
      <c r="D34" s="22"/>
      <c r="E34" s="51"/>
      <c r="F34" s="51"/>
      <c r="G34" s="51"/>
      <c r="H34" s="51"/>
      <c r="I34" s="51"/>
      <c r="J34" s="51"/>
      <c r="K34" s="51"/>
      <c r="L34" s="51"/>
      <c r="M34" s="51"/>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row>
    <row r="35" spans="1:42" ht="15.75" x14ac:dyDescent="0.25">
      <c r="A35" s="22"/>
      <c r="B35" s="22"/>
      <c r="C35" s="22"/>
      <c r="D35" s="22"/>
      <c r="E35" s="51"/>
      <c r="F35" s="51"/>
      <c r="G35" s="51"/>
      <c r="H35" s="51"/>
      <c r="I35" s="51"/>
      <c r="J35" s="51"/>
      <c r="K35" s="51"/>
      <c r="L35" s="51"/>
      <c r="M35" s="51"/>
      <c r="N35" s="22"/>
      <c r="O35" s="22"/>
      <c r="P35" s="22"/>
      <c r="Q35" s="22"/>
      <c r="R35" s="22"/>
      <c r="S35" s="22"/>
      <c r="T35" s="22"/>
      <c r="U35" s="22"/>
      <c r="V35" s="22"/>
      <c r="W35" s="22"/>
      <c r="X35" s="22"/>
      <c r="Y35" s="22"/>
      <c r="Z35" s="22"/>
      <c r="AA35" s="22"/>
      <c r="AB35" s="22"/>
    </row>
    <row r="36" spans="1:42" ht="15.75" x14ac:dyDescent="0.25">
      <c r="A36" s="22"/>
      <c r="B36" s="22"/>
      <c r="C36" s="22"/>
      <c r="D36" s="22"/>
      <c r="E36" s="51"/>
      <c r="F36" s="51"/>
      <c r="G36" s="51"/>
      <c r="H36" s="51"/>
      <c r="I36" s="51"/>
      <c r="J36" s="51"/>
      <c r="K36" s="51"/>
      <c r="L36" s="51"/>
      <c r="M36" s="51"/>
      <c r="N36" s="22"/>
      <c r="O36" s="22"/>
      <c r="P36" s="22"/>
      <c r="Q36" s="22"/>
      <c r="R36" s="22"/>
      <c r="S36" s="22"/>
      <c r="T36" s="22"/>
      <c r="U36" s="22"/>
      <c r="V36" s="22"/>
      <c r="W36" s="22"/>
      <c r="X36" s="22"/>
      <c r="Y36" s="22"/>
      <c r="Z36" s="22"/>
      <c r="AA36" s="22"/>
      <c r="AB36" s="22"/>
    </row>
    <row r="37" spans="1:42" ht="15.75" x14ac:dyDescent="0.25">
      <c r="A37" s="22"/>
      <c r="B37" s="22"/>
      <c r="C37" s="22"/>
      <c r="D37" s="22"/>
      <c r="E37" s="52"/>
      <c r="F37" s="52"/>
      <c r="G37" s="52"/>
      <c r="H37" s="52"/>
      <c r="I37" s="52"/>
      <c r="J37" s="52"/>
      <c r="K37" s="52"/>
      <c r="L37" s="52"/>
      <c r="M37" s="52"/>
      <c r="N37" s="22"/>
      <c r="O37" s="22"/>
      <c r="P37" s="22"/>
      <c r="Q37" s="22"/>
      <c r="R37" s="22"/>
      <c r="S37" s="22"/>
      <c r="T37" s="22"/>
      <c r="U37" s="22"/>
      <c r="V37" s="22"/>
      <c r="W37" s="22"/>
      <c r="X37" s="22"/>
      <c r="Y37" s="22"/>
      <c r="Z37" s="22"/>
      <c r="AA37" s="22"/>
      <c r="AB37" s="22"/>
    </row>
    <row r="38" spans="1:42"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42"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42"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42"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42"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row>
    <row r="43" spans="1:42" x14ac:dyDescent="0.25">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22"/>
      <c r="AA43" s="22"/>
      <c r="AB43" s="22"/>
    </row>
    <row r="44" spans="1:42" x14ac:dyDescent="0.25">
      <c r="A44" s="84"/>
      <c r="B44" s="84"/>
      <c r="C44" s="84"/>
      <c r="D44" s="84"/>
      <c r="E44" s="84"/>
      <c r="F44" s="84"/>
      <c r="G44" s="84"/>
      <c r="H44" s="84"/>
      <c r="I44" s="84"/>
      <c r="J44" s="84"/>
      <c r="K44" s="84"/>
      <c r="L44" s="84"/>
      <c r="M44" s="84"/>
      <c r="N44" s="84"/>
      <c r="O44" s="84"/>
      <c r="P44" s="84"/>
      <c r="Q44" s="84"/>
      <c r="R44" s="84"/>
      <c r="S44" s="84"/>
      <c r="T44" s="84"/>
      <c r="U44" s="84"/>
      <c r="V44" s="84"/>
      <c r="W44" s="84"/>
      <c r="X44" s="84"/>
      <c r="Y44" s="84"/>
    </row>
    <row r="45" spans="1:42"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c r="Y45" s="84"/>
    </row>
    <row r="46" spans="1:42"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c r="Y46" s="84"/>
    </row>
    <row r="47" spans="1:42" x14ac:dyDescent="0.25">
      <c r="A47" s="84"/>
      <c r="B47" s="84"/>
      <c r="C47" s="84"/>
      <c r="D47" s="84"/>
      <c r="E47" s="84"/>
      <c r="F47" s="84"/>
      <c r="G47" s="84"/>
      <c r="H47" s="84"/>
      <c r="I47" s="84"/>
      <c r="J47" s="84"/>
      <c r="K47" s="84"/>
      <c r="L47" s="84"/>
      <c r="M47" s="84"/>
      <c r="N47" s="84"/>
      <c r="O47" s="84"/>
      <c r="P47" s="84"/>
      <c r="Q47" s="84"/>
      <c r="R47" s="84"/>
      <c r="S47" s="84"/>
      <c r="T47" s="84"/>
      <c r="U47" s="84"/>
      <c r="V47" s="84"/>
      <c r="W47" s="84"/>
      <c r="X47" s="84"/>
      <c r="Y47" s="84"/>
    </row>
    <row r="48" spans="1:42"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c r="Y48" s="84"/>
    </row>
    <row r="49" spans="1:25"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c r="Y49" s="84"/>
    </row>
    <row r="50" spans="1:25"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c r="Y50" s="84"/>
    </row>
    <row r="51" spans="1:25"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c r="Y51" s="84"/>
    </row>
    <row r="52" spans="1:25"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row>
    <row r="53" spans="1:25"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c r="Y53" s="84"/>
    </row>
    <row r="54" spans="1:25"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c r="Y54" s="84"/>
    </row>
    <row r="55" spans="1:25"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row>
    <row r="56" spans="1:25"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row>
    <row r="57" spans="1:25"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row>
    <row r="58" spans="1:25"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row>
  </sheetData>
  <sheetProtection password="CF7A" sheet="1" selectLockedCells="1"/>
  <mergeCells count="1">
    <mergeCell ref="C29:F30"/>
  </mergeCells>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26625" r:id="rId5" name="Drop Down 1">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mc:AlternateContent xmlns:mc="http://schemas.openxmlformats.org/markup-compatibility/2006">
          <mc:Choice Requires="x14">
            <control shapeId="26626" r:id="rId6" name="Drop Down 2">
              <controlPr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26627" r:id="rId7" name="Drop Down 3">
              <controlPr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26628" r:id="rId8" name="Drop Down 4">
              <controlPr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26629" r:id="rId9" name="Drop Down 5">
              <controlPr defaultSize="0" autoLine="0" autoPict="0">
                <anchor moveWithCells="1">
                  <from>
                    <xdr:col>2</xdr:col>
                    <xdr:colOff>0</xdr:colOff>
                    <xdr:row>15</xdr:row>
                    <xdr:rowOff>0</xdr:rowOff>
                  </from>
                  <to>
                    <xdr:col>3</xdr:col>
                    <xdr:colOff>533400</xdr:colOff>
                    <xdr:row>16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0000"/>
    <pageSetUpPr autoPageBreaks="0" fitToPage="1"/>
  </sheetPr>
  <dimension ref="A1:AP58"/>
  <sheetViews>
    <sheetView showGridLines="0" zoomScaleNormal="100" workbookViewId="0">
      <selection activeCell="C20" sqref="C20"/>
    </sheetView>
  </sheetViews>
  <sheetFormatPr defaultRowHeight="15" x14ac:dyDescent="0.25"/>
  <cols>
    <col min="1" max="1" width="9.140625" customWidth="1"/>
    <col min="2" max="2" width="25.28515625" customWidth="1"/>
    <col min="3" max="3" width="22.5703125" customWidth="1"/>
    <col min="4" max="4" width="20.5703125" bestFit="1" customWidth="1"/>
    <col min="5" max="5" width="17.5703125" customWidth="1"/>
    <col min="6" max="6" width="16.85546875" customWidth="1"/>
    <col min="7" max="7" width="18.42578125" customWidth="1"/>
    <col min="8" max="8" width="6.5703125" customWidth="1"/>
    <col min="9" max="9" width="13.7109375" hidden="1" customWidth="1"/>
    <col min="10" max="10" width="33.7109375" hidden="1" customWidth="1"/>
    <col min="11" max="11" width="10.7109375" hidden="1" customWidth="1"/>
    <col min="12" max="12" width="13.7109375" hidden="1" customWidth="1"/>
    <col min="13" max="13" width="33.7109375" hidden="1" customWidth="1"/>
    <col min="14" max="14" width="10.7109375" hidden="1" customWidth="1"/>
    <col min="15" max="15" width="9.140625" hidden="1" customWidth="1"/>
    <col min="17" max="17" width="12.85546875" customWidth="1"/>
    <col min="18" max="18" width="29.42578125" customWidth="1"/>
    <col min="19" max="19" width="6.140625" customWidth="1"/>
    <col min="20" max="20" width="13.7109375" customWidth="1"/>
    <col min="21" max="21" width="33.7109375" customWidth="1"/>
    <col min="22" max="22" width="7.5703125" customWidth="1"/>
    <col min="25" max="25" width="5.7109375" customWidth="1"/>
  </cols>
  <sheetData>
    <row r="1" spans="1:42" ht="15" customHeight="1" x14ac:dyDescent="0.25">
      <c r="A1" s="65"/>
      <c r="B1" s="83"/>
      <c r="C1" s="83"/>
      <c r="D1" s="83"/>
      <c r="E1" s="83"/>
      <c r="F1" s="83"/>
      <c r="G1" s="83"/>
      <c r="H1" s="83"/>
      <c r="I1" s="83"/>
      <c r="J1" s="83"/>
      <c r="K1" s="83"/>
      <c r="L1" s="83"/>
      <c r="M1" s="83"/>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row>
    <row r="2" spans="1:42" x14ac:dyDescent="0.25">
      <c r="A2" s="83"/>
      <c r="B2" s="83"/>
      <c r="C2" s="83"/>
      <c r="D2" s="83"/>
      <c r="E2" s="83"/>
      <c r="F2" s="83"/>
      <c r="G2" s="83"/>
      <c r="H2" s="83"/>
      <c r="I2" s="83"/>
      <c r="J2" s="83"/>
      <c r="K2" s="83"/>
      <c r="L2" s="83"/>
      <c r="M2" s="83"/>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row>
    <row r="3" spans="1:42" ht="13.5" customHeight="1" x14ac:dyDescent="0.25">
      <c r="A3" s="10"/>
      <c r="B3" s="10"/>
      <c r="C3" s="10"/>
      <c r="D3" s="10"/>
      <c r="E3" s="10"/>
      <c r="F3" s="10"/>
      <c r="G3" s="10"/>
      <c r="H3" s="10"/>
      <c r="I3" s="10"/>
      <c r="J3" s="10"/>
      <c r="K3" s="10"/>
      <c r="L3" s="10"/>
      <c r="M3" s="10"/>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row>
    <row r="4" spans="1:42" ht="15" customHeight="1" x14ac:dyDescent="0.25">
      <c r="A4" s="10"/>
      <c r="B4" s="10"/>
      <c r="C4" s="10"/>
      <c r="D4" s="10"/>
      <c r="E4" s="10"/>
      <c r="F4" s="10"/>
      <c r="G4" s="10"/>
      <c r="H4" s="10"/>
      <c r="I4" s="10"/>
      <c r="J4" s="10"/>
      <c r="K4" s="10"/>
      <c r="L4" s="10"/>
      <c r="M4" s="10"/>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row>
    <row r="5" spans="1:42" ht="15" customHeight="1" x14ac:dyDescent="0.25">
      <c r="B5" s="34"/>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15" customHeight="1" x14ac:dyDescent="0.25">
      <c r="B6" s="34"/>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row>
    <row r="7" spans="1:42" ht="15" customHeight="1" thickBot="1" x14ac:dyDescent="0.3">
      <c r="B7" s="36" t="s">
        <v>117</v>
      </c>
      <c r="C7" s="36" t="s">
        <v>183</v>
      </c>
      <c r="D7" s="36" t="s">
        <v>184</v>
      </c>
      <c r="I7" s="11"/>
      <c r="J7" s="12" t="s">
        <v>6</v>
      </c>
      <c r="K7" s="13"/>
      <c r="L7" s="11"/>
      <c r="M7" s="21" t="s">
        <v>25</v>
      </c>
      <c r="N7" s="21"/>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row>
    <row r="8" spans="1:42" ht="15" customHeight="1" x14ac:dyDescent="0.25">
      <c r="B8" s="34"/>
      <c r="I8" s="11" t="s">
        <v>4</v>
      </c>
      <c r="J8" s="14" t="s">
        <v>120</v>
      </c>
      <c r="K8" s="15" t="s">
        <v>3</v>
      </c>
      <c r="L8" s="11" t="s">
        <v>7</v>
      </c>
      <c r="M8" s="14" t="s">
        <v>170</v>
      </c>
      <c r="N8" s="15"/>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row>
    <row r="9" spans="1:42" ht="15" customHeight="1" thickBot="1" x14ac:dyDescent="0.3">
      <c r="B9" s="34"/>
      <c r="I9" s="16">
        <v>1</v>
      </c>
      <c r="J9" s="17" t="str">
        <f>VLOOKUP(I9,'Back-End'!$A$119:$C$138,2,FALSE)</f>
        <v>Click to select width…</v>
      </c>
      <c r="K9" s="18">
        <f>VLOOKUP(I9,'Back-End'!$A$119:$C$138,3,FALSE)</f>
        <v>0</v>
      </c>
      <c r="L9" s="16">
        <f>I9+K9</f>
        <v>1</v>
      </c>
      <c r="M9" s="45">
        <f>VLOOKUP($L9,'Back-End'!$H$119:$I$138,2,FALSE)</f>
        <v>0</v>
      </c>
      <c r="N9" s="44"/>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row>
    <row r="10" spans="1:42" ht="15" customHeight="1" thickBot="1" x14ac:dyDescent="0.3">
      <c r="B10" s="34"/>
      <c r="I10" s="11"/>
      <c r="J10" s="12" t="s">
        <v>6</v>
      </c>
      <c r="K10" s="13"/>
      <c r="L10" s="11"/>
      <c r="M10" s="21" t="s">
        <v>25</v>
      </c>
      <c r="N10" s="21"/>
      <c r="P10" s="22"/>
      <c r="Q10" s="56"/>
      <c r="R10" s="57"/>
      <c r="S10" s="58"/>
      <c r="T10" s="56"/>
      <c r="U10" s="57"/>
      <c r="V10" s="57"/>
      <c r="W10" s="22"/>
      <c r="X10" s="22"/>
      <c r="Y10" s="22"/>
      <c r="Z10" s="22"/>
      <c r="AA10" s="22"/>
      <c r="AB10" s="22"/>
      <c r="AC10" s="22"/>
      <c r="AD10" s="22"/>
      <c r="AE10" s="22"/>
      <c r="AF10" s="22"/>
      <c r="AG10" s="22"/>
      <c r="AH10" s="22"/>
      <c r="AI10" s="22"/>
      <c r="AJ10" s="22"/>
      <c r="AK10" s="22"/>
      <c r="AL10" s="22"/>
      <c r="AM10" s="22"/>
      <c r="AN10" s="22"/>
      <c r="AO10" s="22"/>
      <c r="AP10" s="22"/>
    </row>
    <row r="11" spans="1:42" ht="15" customHeight="1" x14ac:dyDescent="0.25">
      <c r="B11" s="34"/>
      <c r="I11" s="11" t="s">
        <v>4</v>
      </c>
      <c r="J11" s="14" t="s">
        <v>148</v>
      </c>
      <c r="K11" s="15" t="s">
        <v>3</v>
      </c>
      <c r="L11" s="11" t="s">
        <v>7</v>
      </c>
      <c r="M11" s="14" t="s">
        <v>170</v>
      </c>
      <c r="N11" s="15" t="s">
        <v>171</v>
      </c>
      <c r="P11" s="22"/>
      <c r="Q11" s="56"/>
      <c r="R11" s="56"/>
      <c r="S11" s="56"/>
      <c r="T11" s="56"/>
      <c r="U11" s="56"/>
      <c r="V11" s="56"/>
      <c r="W11" s="22"/>
      <c r="X11" s="22"/>
      <c r="Y11" s="22"/>
      <c r="Z11" s="22"/>
      <c r="AA11" s="22"/>
      <c r="AB11" s="22"/>
      <c r="AC11" s="22"/>
      <c r="AD11" s="22"/>
      <c r="AE11" s="22"/>
      <c r="AF11" s="22"/>
      <c r="AG11" s="22"/>
      <c r="AH11" s="22"/>
      <c r="AI11" s="22"/>
      <c r="AJ11" s="22"/>
      <c r="AK11" s="22"/>
      <c r="AL11" s="22"/>
      <c r="AM11" s="22"/>
      <c r="AN11" s="22"/>
      <c r="AO11" s="22"/>
      <c r="AP11" s="22"/>
    </row>
    <row r="12" spans="1:42" s="7" customFormat="1" ht="15" customHeight="1" thickBot="1" x14ac:dyDescent="0.3">
      <c r="I12" s="16">
        <v>1</v>
      </c>
      <c r="J12" s="17" t="str">
        <f>VLOOKUP(I12,'Back-End'!$A$143:$C$163,2,FALSE)</f>
        <v>Click to select size…</v>
      </c>
      <c r="K12" s="18">
        <f>VLOOKUP(I12,'Back-End'!$A$143:$C$1166,3,FALSE)</f>
        <v>0</v>
      </c>
      <c r="L12" s="16">
        <f>I12+K12</f>
        <v>1</v>
      </c>
      <c r="M12" s="45" t="e">
        <f>VLOOKUP($L12,'Back-End'!$H$144:$I$164,2,FALSE)</f>
        <v>#N/A</v>
      </c>
      <c r="N12" s="45" t="e">
        <f>VLOOKUP($L12,'Back-End'!$J$144:$K$164,2,FALSE)</f>
        <v>#N/A</v>
      </c>
      <c r="P12" s="49"/>
      <c r="Q12" s="59"/>
      <c r="R12" s="59"/>
      <c r="S12" s="59"/>
      <c r="T12" s="59"/>
      <c r="U12" s="60"/>
      <c r="V12" s="60"/>
      <c r="W12" s="49"/>
      <c r="X12" s="49"/>
      <c r="Y12" s="49"/>
      <c r="Z12" s="49"/>
      <c r="AA12" s="49"/>
      <c r="AB12" s="49"/>
      <c r="AC12" s="49"/>
      <c r="AD12" s="49"/>
      <c r="AE12" s="49"/>
      <c r="AF12" s="49"/>
      <c r="AG12" s="49"/>
      <c r="AH12" s="49"/>
      <c r="AI12" s="49"/>
      <c r="AJ12" s="49"/>
      <c r="AK12" s="49"/>
      <c r="AL12" s="49"/>
      <c r="AM12" s="49"/>
      <c r="AN12" s="49"/>
      <c r="AO12" s="49"/>
      <c r="AP12" s="49"/>
    </row>
    <row r="13" spans="1:42" ht="15" customHeight="1" thickBot="1" x14ac:dyDescent="0.3">
      <c r="B13" s="37" t="s">
        <v>72</v>
      </c>
      <c r="C13" s="37" t="s">
        <v>185</v>
      </c>
      <c r="D13" s="37" t="s">
        <v>186</v>
      </c>
      <c r="I13" s="11"/>
      <c r="J13" s="12" t="s">
        <v>6</v>
      </c>
      <c r="K13" s="13"/>
      <c r="L13" s="11"/>
      <c r="M13" s="21" t="s">
        <v>25</v>
      </c>
      <c r="N13" s="21"/>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row>
    <row r="14" spans="1:42" ht="15" customHeight="1" x14ac:dyDescent="0.3">
      <c r="B14" s="35"/>
      <c r="I14" s="11" t="s">
        <v>4</v>
      </c>
      <c r="J14" s="14" t="s">
        <v>147</v>
      </c>
      <c r="K14" s="15" t="s">
        <v>3</v>
      </c>
      <c r="L14" s="11" t="s">
        <v>7</v>
      </c>
      <c r="M14" s="14" t="s">
        <v>172</v>
      </c>
      <c r="N14" s="15"/>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2" ht="15" customHeight="1" thickBot="1" x14ac:dyDescent="0.3">
      <c r="B15" s="29" t="s">
        <v>24</v>
      </c>
      <c r="C15" s="26"/>
      <c r="I15" s="16">
        <v>1</v>
      </c>
      <c r="J15" s="17" t="str">
        <f>VLOOKUP(I15,'Back-End'!$D$119:$F$127,2,FALSE)</f>
        <v>Click to select length…</v>
      </c>
      <c r="K15" s="18">
        <f>VLOOKUP(I15,'Back-End'!$D$119:$F$127,3,FALSE)</f>
        <v>1</v>
      </c>
      <c r="L15" s="16">
        <f>I15+K15</f>
        <v>2</v>
      </c>
      <c r="M15" s="45" t="e">
        <f>VLOOKUP($L15,'Back-End'!$J$120:$K$127,2,FALSE)</f>
        <v>#N/A</v>
      </c>
      <c r="N15" s="44"/>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2" ht="15" customHeight="1" x14ac:dyDescent="0.25">
      <c r="B16" s="29" t="s">
        <v>17</v>
      </c>
      <c r="C16" s="26"/>
      <c r="D16" s="24"/>
      <c r="E16" s="24"/>
      <c r="F16" s="24"/>
      <c r="J16" s="24"/>
      <c r="K16" s="24"/>
      <c r="L16" s="24"/>
      <c r="M16" s="24"/>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3" customFormat="1" ht="15" customHeight="1" thickBot="1" x14ac:dyDescent="0.3">
      <c r="A17" s="24"/>
      <c r="B17" s="28" t="s">
        <v>29</v>
      </c>
      <c r="C17" s="28"/>
      <c r="D17" s="24"/>
      <c r="E17" s="24"/>
      <c r="F17" s="24"/>
      <c r="I17" s="11"/>
      <c r="J17" s="12" t="s">
        <v>6</v>
      </c>
      <c r="K17" s="13"/>
      <c r="L17"/>
      <c r="M17"/>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row>
    <row r="18" spans="1:42" ht="15" customHeight="1" x14ac:dyDescent="0.25">
      <c r="B18" s="29" t="s">
        <v>111</v>
      </c>
      <c r="C18" s="33">
        <v>0</v>
      </c>
      <c r="D18" s="24"/>
      <c r="E18" s="28" t="s">
        <v>26</v>
      </c>
      <c r="F18" s="30"/>
      <c r="G18" s="28"/>
      <c r="I18" s="11" t="s">
        <v>4</v>
      </c>
      <c r="J18" s="14" t="s">
        <v>5</v>
      </c>
      <c r="K18" s="15" t="s">
        <v>3</v>
      </c>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2" ht="15" customHeight="1" thickBot="1" x14ac:dyDescent="0.3">
      <c r="B19" s="29" t="s">
        <v>112</v>
      </c>
      <c r="C19" s="33">
        <v>0</v>
      </c>
      <c r="D19" s="24"/>
      <c r="E19" s="31"/>
      <c r="F19" s="25" t="s">
        <v>19</v>
      </c>
      <c r="G19" s="25" t="s">
        <v>20</v>
      </c>
      <c r="I19" s="16">
        <v>1</v>
      </c>
      <c r="J19" s="17" t="str">
        <f>VLOOKUP(I19,'Back-End'!$A$39:$C$41,2,FALSE)</f>
        <v>Bicycle Chart</v>
      </c>
      <c r="K19" s="18">
        <f>VLOOKUP(I19,'Back-End'!$A$39:$C$41,3,FALSE)</f>
        <v>10</v>
      </c>
      <c r="L19" s="3"/>
      <c r="M19" s="3"/>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ht="15" customHeight="1" thickBot="1" x14ac:dyDescent="0.3">
      <c r="B20" s="29" t="s">
        <v>18</v>
      </c>
      <c r="C20" s="46">
        <v>0</v>
      </c>
      <c r="D20" s="24"/>
      <c r="E20" s="29" t="s">
        <v>21</v>
      </c>
      <c r="F20" s="32" t="str">
        <f>IFERROR(((K26*0.85)*((M12/1000*N12/1000))*(C22/330)),"-")</f>
        <v>-</v>
      </c>
      <c r="G20" s="32" t="str">
        <f>IFERROR(((K26*0.85)*((M12/1000*N12/1000))*(C23/700)),"-")</f>
        <v>-</v>
      </c>
      <c r="I20" s="11"/>
      <c r="J20" s="12" t="s">
        <v>6</v>
      </c>
      <c r="K20" s="1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s="3" customFormat="1" ht="15" customHeight="1" x14ac:dyDescent="0.25">
      <c r="B21" s="28" t="s">
        <v>28</v>
      </c>
      <c r="C21" s="28"/>
      <c r="D21" s="24"/>
      <c r="E21" s="29" t="s">
        <v>22</v>
      </c>
      <c r="F21" s="32" t="str">
        <f>IFERROR(((M12/1000*N12/1000))*(F24),"-")</f>
        <v>-</v>
      </c>
      <c r="G21" s="32" t="str">
        <f>IFERROR(((M12/1000*N12/1000))*(F24),"-")</f>
        <v>-</v>
      </c>
      <c r="I21" s="11" t="s">
        <v>4</v>
      </c>
      <c r="J21" s="14" t="s">
        <v>5</v>
      </c>
      <c r="K21" s="15" t="s">
        <v>3</v>
      </c>
      <c r="L21"/>
      <c r="M21"/>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row>
    <row r="22" spans="1:42" ht="15" customHeight="1" thickBot="1" x14ac:dyDescent="0.3">
      <c r="B22" s="29" t="s">
        <v>15</v>
      </c>
      <c r="C22" s="47">
        <v>0</v>
      </c>
      <c r="D22" s="24"/>
      <c r="E22" s="88" t="s">
        <v>23</v>
      </c>
      <c r="F22" s="89" t="str">
        <f>IFERROR(F20+F21,"-")</f>
        <v>-</v>
      </c>
      <c r="G22" s="89" t="str">
        <f>IFERROR(G20+G21,"-")</f>
        <v>-</v>
      </c>
      <c r="I22" s="11">
        <v>1</v>
      </c>
      <c r="J22" s="19" t="str">
        <f>VLOOKUP($I22,'Back-End'!$D$39:$F$46,2,FALSE)</f>
        <v>HW Coated Paper</v>
      </c>
      <c r="K22" s="20">
        <f>VLOOKUP($I22,'Back-End'!$D$39:$F$46,3,FALSE)</f>
        <v>1</v>
      </c>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row>
    <row r="23" spans="1:42" ht="15" customHeight="1" x14ac:dyDescent="0.25">
      <c r="B23" s="29" t="s">
        <v>16</v>
      </c>
      <c r="C23" s="47">
        <v>0</v>
      </c>
      <c r="D23" s="24"/>
      <c r="E23" s="29" t="s">
        <v>113</v>
      </c>
      <c r="F23" s="86" t="str">
        <f>IFERROR(F20/((M12/1000*N12/1000)),"-")</f>
        <v>-</v>
      </c>
      <c r="G23" s="86" t="str">
        <f>IFERROR(G20/((M12/1000*N12/1000)),"-")</f>
        <v>-</v>
      </c>
      <c r="I23" s="16"/>
      <c r="J23" s="16"/>
      <c r="K23" s="16"/>
      <c r="L23" s="3"/>
      <c r="M23" s="3"/>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1:42" s="3" customFormat="1" ht="15" customHeight="1" thickBot="1" x14ac:dyDescent="0.3">
      <c r="B24" s="28" t="s">
        <v>27</v>
      </c>
      <c r="C24" s="25"/>
      <c r="D24" s="42"/>
      <c r="E24" s="85" t="s">
        <v>114</v>
      </c>
      <c r="F24" s="32" t="str">
        <f>IFERROR(C20/((M15*M9/1000)),"-")</f>
        <v>-</v>
      </c>
      <c r="G24" s="32" t="str">
        <f>IFERROR(C20/((M15*M9/1000)),"-")</f>
        <v>-</v>
      </c>
      <c r="H24" s="24"/>
      <c r="I24" s="11"/>
      <c r="J24" s="21" t="s">
        <v>25</v>
      </c>
      <c r="K24" s="21"/>
      <c r="L24"/>
      <c r="M24"/>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row>
    <row r="25" spans="1:42" ht="15" customHeight="1" x14ac:dyDescent="0.25">
      <c r="D25" s="24"/>
      <c r="E25" s="48" t="s">
        <v>115</v>
      </c>
      <c r="F25" s="87" t="str">
        <f>IFERROR(F23+F24,"-")</f>
        <v>-</v>
      </c>
      <c r="G25" s="87" t="str">
        <f>IFERROR(G23+G24,"-")</f>
        <v>-</v>
      </c>
      <c r="H25" s="24"/>
      <c r="I25" s="11" t="s">
        <v>7</v>
      </c>
      <c r="J25" s="14" t="s">
        <v>13</v>
      </c>
      <c r="K25" s="15" t="s">
        <v>14</v>
      </c>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row>
    <row r="26" spans="1:42" ht="15" customHeight="1" thickBot="1" x14ac:dyDescent="0.3">
      <c r="B26" s="61" t="s">
        <v>180</v>
      </c>
      <c r="C26" s="53" t="s">
        <v>181</v>
      </c>
      <c r="D26" s="24"/>
      <c r="E26" s="29" t="s">
        <v>116</v>
      </c>
      <c r="F26" s="33" t="str">
        <f>IFERROR((330*6)/(K26*0.85)/(M12/1000*N12/1000),"-")</f>
        <v>-</v>
      </c>
      <c r="G26" s="33" t="str">
        <f>IFERROR((700*6)/(K26*0.85)/(M12/1000*N12/1000),"-")</f>
        <v>-</v>
      </c>
      <c r="H26" s="24"/>
      <c r="I26" s="16">
        <f>K19+K22</f>
        <v>11</v>
      </c>
      <c r="J26" s="17" t="str">
        <f>VLOOKUP($I26,'Back-End'!$H$39:$K$62,2,FALSE)</f>
        <v>Bicylce Chart- HW Coated</v>
      </c>
      <c r="K26" s="18">
        <f>VLOOKUP($I26,'Back-End'!$H$39:$K$62,3,FALSE)</f>
        <v>4.0457599999999996</v>
      </c>
      <c r="L26" s="3"/>
      <c r="M26" s="3"/>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row>
    <row r="27" spans="1:42" ht="15.75" x14ac:dyDescent="0.25">
      <c r="B27" s="54" t="str">
        <f>IFERROR(M12,"-")</f>
        <v>-</v>
      </c>
      <c r="C27" s="54" t="str">
        <f>IFERROR(N12,"-")</f>
        <v>-</v>
      </c>
      <c r="D27" s="24"/>
      <c r="E27" s="24"/>
      <c r="F27" s="24"/>
      <c r="G27" s="24"/>
      <c r="H27" s="24"/>
      <c r="I27" s="24"/>
      <c r="J27" s="24"/>
      <c r="K27" s="24"/>
      <c r="L27" s="24"/>
      <c r="M27" s="24"/>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row>
    <row r="28" spans="1:42" ht="15.75" x14ac:dyDescent="0.25">
      <c r="E28" s="24"/>
      <c r="F28" s="24"/>
      <c r="G28" s="24"/>
      <c r="H28" s="24"/>
      <c r="I28" s="24"/>
      <c r="J28" s="24"/>
      <c r="K28" s="24"/>
      <c r="L28" s="24"/>
      <c r="M28" s="24"/>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row>
    <row r="29" spans="1:42" ht="21.75" customHeight="1" x14ac:dyDescent="0.25">
      <c r="C29" s="236" t="s">
        <v>201</v>
      </c>
      <c r="D29" s="236"/>
      <c r="E29" s="236"/>
      <c r="F29" s="236"/>
      <c r="G29" s="26"/>
      <c r="H29" s="26"/>
      <c r="I29" s="26"/>
      <c r="J29" s="26"/>
      <c r="K29" s="26"/>
      <c r="L29" s="26"/>
      <c r="M29" s="26"/>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row>
    <row r="30" spans="1:42" ht="12" customHeight="1" x14ac:dyDescent="0.25">
      <c r="C30" s="236"/>
      <c r="D30" s="236"/>
      <c r="E30" s="236"/>
      <c r="F30" s="236"/>
      <c r="G30" s="26"/>
      <c r="H30" s="26"/>
      <c r="I30" s="26"/>
      <c r="J30" s="26"/>
      <c r="K30" s="26"/>
      <c r="L30" s="26"/>
      <c r="M30" s="26"/>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row>
    <row r="31" spans="1:42" ht="15.75" x14ac:dyDescent="0.25">
      <c r="A31" s="22"/>
      <c r="B31" s="22"/>
      <c r="C31" s="22"/>
      <c r="D31" s="22"/>
      <c r="E31" s="51"/>
      <c r="F31" s="51"/>
      <c r="G31" s="51"/>
      <c r="H31" s="51"/>
      <c r="I31" s="27"/>
      <c r="J31" s="27"/>
      <c r="K31" s="27"/>
      <c r="L31" s="27"/>
      <c r="M31" s="27"/>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row>
    <row r="32" spans="1:42" ht="15.75" x14ac:dyDescent="0.25">
      <c r="A32" s="22"/>
      <c r="B32" s="22"/>
      <c r="C32" s="22"/>
      <c r="D32" s="22"/>
      <c r="E32" s="51"/>
      <c r="F32" s="51"/>
      <c r="G32" s="51"/>
      <c r="H32" s="51"/>
      <c r="I32" s="51"/>
      <c r="J32" s="51"/>
      <c r="K32" s="51"/>
      <c r="L32" s="51"/>
      <c r="M32" s="51"/>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row>
    <row r="33" spans="1:42" ht="15.75" x14ac:dyDescent="0.25">
      <c r="A33" s="22"/>
      <c r="B33" s="22"/>
      <c r="C33" s="22"/>
      <c r="D33" s="22"/>
      <c r="E33" s="51"/>
      <c r="F33" s="51"/>
      <c r="G33" s="51"/>
      <c r="H33" s="51"/>
      <c r="I33" s="51"/>
      <c r="J33" s="51"/>
      <c r="K33" s="51"/>
      <c r="L33" s="51"/>
      <c r="M33" s="51"/>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row>
    <row r="34" spans="1:42" ht="15.75" x14ac:dyDescent="0.25">
      <c r="A34" s="22"/>
      <c r="B34" s="22"/>
      <c r="C34" s="22"/>
      <c r="D34" s="22"/>
      <c r="E34" s="51"/>
      <c r="F34" s="51"/>
      <c r="G34" s="51"/>
      <c r="H34" s="51"/>
      <c r="I34" s="51"/>
      <c r="J34" s="51"/>
      <c r="K34" s="51"/>
      <c r="L34" s="51"/>
      <c r="M34" s="51"/>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row>
    <row r="35" spans="1:42" ht="15.75" x14ac:dyDescent="0.25">
      <c r="A35" s="22"/>
      <c r="B35" s="22"/>
      <c r="C35" s="22"/>
      <c r="D35" s="22"/>
      <c r="E35" s="51"/>
      <c r="F35" s="51"/>
      <c r="G35" s="51"/>
      <c r="H35" s="51"/>
      <c r="I35" s="51"/>
      <c r="J35" s="51"/>
      <c r="K35" s="51"/>
      <c r="L35" s="51"/>
      <c r="M35" s="51"/>
      <c r="N35" s="22"/>
      <c r="O35" s="22"/>
      <c r="P35" s="22"/>
      <c r="Q35" s="22"/>
      <c r="R35" s="22"/>
      <c r="S35" s="22"/>
      <c r="T35" s="22"/>
      <c r="U35" s="22"/>
      <c r="V35" s="22"/>
      <c r="W35" s="22"/>
      <c r="X35" s="22"/>
      <c r="Y35" s="22"/>
      <c r="Z35" s="22"/>
      <c r="AA35" s="22"/>
      <c r="AB35" s="22"/>
    </row>
    <row r="36" spans="1:42" ht="15.75" x14ac:dyDescent="0.25">
      <c r="A36" s="22"/>
      <c r="B36" s="22"/>
      <c r="C36" s="22"/>
      <c r="D36" s="22"/>
      <c r="E36" s="51"/>
      <c r="F36" s="51"/>
      <c r="G36" s="51"/>
      <c r="H36" s="51"/>
      <c r="I36" s="51"/>
      <c r="J36" s="51"/>
      <c r="K36" s="51"/>
      <c r="L36" s="51"/>
      <c r="M36" s="51"/>
      <c r="N36" s="22"/>
      <c r="O36" s="22"/>
      <c r="P36" s="22"/>
      <c r="Q36" s="22"/>
      <c r="R36" s="22"/>
      <c r="S36" s="22"/>
      <c r="T36" s="22"/>
      <c r="U36" s="22"/>
      <c r="V36" s="22"/>
      <c r="W36" s="22"/>
      <c r="X36" s="22"/>
      <c r="Y36" s="22"/>
      <c r="Z36" s="22"/>
      <c r="AA36" s="22"/>
      <c r="AB36" s="22"/>
    </row>
    <row r="37" spans="1:42" ht="15.75" x14ac:dyDescent="0.25">
      <c r="A37" s="22"/>
      <c r="B37" s="22"/>
      <c r="C37" s="22"/>
      <c r="D37" s="22"/>
      <c r="E37" s="52"/>
      <c r="F37" s="52"/>
      <c r="G37" s="52"/>
      <c r="H37" s="52"/>
      <c r="I37" s="52"/>
      <c r="J37" s="52"/>
      <c r="K37" s="52"/>
      <c r="L37" s="52"/>
      <c r="M37" s="52"/>
      <c r="N37" s="22"/>
      <c r="O37" s="22"/>
      <c r="P37" s="22"/>
      <c r="Q37" s="22"/>
      <c r="R37" s="22"/>
      <c r="S37" s="22"/>
      <c r="T37" s="22"/>
      <c r="U37" s="22"/>
      <c r="V37" s="22"/>
      <c r="W37" s="22"/>
      <c r="X37" s="22"/>
      <c r="Y37" s="22"/>
      <c r="Z37" s="22"/>
      <c r="AA37" s="22"/>
      <c r="AB37" s="22"/>
    </row>
    <row r="38" spans="1:42"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42"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42"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42"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42" x14ac:dyDescent="0.25">
      <c r="A42" s="84"/>
      <c r="B42" s="84"/>
      <c r="C42" s="84"/>
      <c r="D42" s="84"/>
      <c r="E42" s="84"/>
      <c r="F42" s="84"/>
      <c r="G42" s="84"/>
      <c r="H42" s="84"/>
      <c r="I42" s="84"/>
      <c r="J42" s="84"/>
      <c r="K42" s="84"/>
      <c r="L42" s="84"/>
      <c r="M42" s="84"/>
      <c r="N42" s="84"/>
      <c r="O42" s="84"/>
      <c r="P42" s="84"/>
      <c r="Q42" s="84"/>
      <c r="R42" s="84"/>
      <c r="S42" s="84"/>
      <c r="T42" s="84"/>
      <c r="U42" s="84"/>
      <c r="V42" s="84"/>
      <c r="W42" s="84"/>
      <c r="X42" s="84"/>
      <c r="Y42" s="22"/>
      <c r="Z42" s="22"/>
      <c r="AA42" s="22"/>
      <c r="AB42" s="22"/>
    </row>
    <row r="43" spans="1:42" x14ac:dyDescent="0.25">
      <c r="A43" s="84"/>
      <c r="B43" s="84"/>
      <c r="C43" s="84"/>
      <c r="D43" s="84"/>
      <c r="E43" s="84"/>
      <c r="F43" s="84"/>
      <c r="G43" s="84"/>
      <c r="H43" s="84"/>
      <c r="I43" s="84"/>
      <c r="J43" s="84"/>
      <c r="K43" s="84"/>
      <c r="L43" s="84"/>
      <c r="M43" s="84"/>
      <c r="N43" s="84"/>
      <c r="O43" s="84"/>
      <c r="P43" s="84"/>
      <c r="Q43" s="84"/>
      <c r="R43" s="84"/>
      <c r="S43" s="84"/>
      <c r="T43" s="84"/>
      <c r="U43" s="84"/>
      <c r="V43" s="84"/>
      <c r="W43" s="84"/>
      <c r="X43" s="84"/>
      <c r="Y43" s="22"/>
      <c r="Z43" s="22"/>
      <c r="AA43" s="22"/>
      <c r="AB43" s="22"/>
    </row>
    <row r="44" spans="1:42" x14ac:dyDescent="0.25">
      <c r="A44" s="84"/>
      <c r="B44" s="84"/>
      <c r="C44" s="84"/>
      <c r="D44" s="84"/>
      <c r="E44" s="84"/>
      <c r="F44" s="84"/>
      <c r="G44" s="84"/>
      <c r="H44" s="84"/>
      <c r="I44" s="84"/>
      <c r="J44" s="84"/>
      <c r="K44" s="84"/>
      <c r="L44" s="84"/>
      <c r="M44" s="84"/>
      <c r="N44" s="84"/>
      <c r="O44" s="84"/>
      <c r="P44" s="84"/>
      <c r="Q44" s="84"/>
      <c r="R44" s="84"/>
      <c r="S44" s="84"/>
      <c r="T44" s="84"/>
      <c r="U44" s="84"/>
      <c r="V44" s="84"/>
      <c r="W44" s="84"/>
      <c r="X44" s="84"/>
    </row>
    <row r="45" spans="1:42"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row>
    <row r="46" spans="1:42"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row>
    <row r="47" spans="1:42" x14ac:dyDescent="0.25">
      <c r="A47" s="84"/>
      <c r="B47" s="84"/>
      <c r="C47" s="84"/>
      <c r="D47" s="84"/>
      <c r="E47" s="84"/>
      <c r="F47" s="84"/>
      <c r="G47" s="84"/>
      <c r="H47" s="84"/>
      <c r="I47" s="84"/>
      <c r="J47" s="84"/>
      <c r="K47" s="84"/>
      <c r="L47" s="84"/>
      <c r="M47" s="84"/>
      <c r="N47" s="84"/>
      <c r="O47" s="84"/>
      <c r="P47" s="84"/>
      <c r="Q47" s="84"/>
      <c r="R47" s="84"/>
      <c r="S47" s="84"/>
      <c r="T47" s="84"/>
      <c r="U47" s="84"/>
      <c r="V47" s="84"/>
      <c r="W47" s="84"/>
      <c r="X47" s="84"/>
    </row>
    <row r="48" spans="1:42"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row>
    <row r="49" spans="1:24"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row>
    <row r="50" spans="1:24"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row>
    <row r="51" spans="1:24"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row>
    <row r="52" spans="1:24"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row>
    <row r="53" spans="1:24"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row>
    <row r="54" spans="1:24"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row>
    <row r="55" spans="1:24"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row>
    <row r="56" spans="1:24"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row>
    <row r="57" spans="1:24"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row>
    <row r="58" spans="1:24"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row>
  </sheetData>
  <sheetProtection password="CF7A" sheet="1" selectLockedCells="1"/>
  <mergeCells count="1">
    <mergeCell ref="C29:F30"/>
  </mergeCells>
  <pageMargins left="0.74803149606299213" right="0.74803149606299213" top="0.98425196850393704" bottom="0.98425196850393704" header="0.51181102362204722" footer="0.51181102362204722"/>
  <pageSetup paperSize="9" scale="94"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23553" r:id="rId5" name="Drop Down 1">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mc:AlternateContent xmlns:mc="http://schemas.openxmlformats.org/markup-compatibility/2006">
          <mc:Choice Requires="x14">
            <control shapeId="23554" r:id="rId6" name="Drop Down 2">
              <controlPr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23555" r:id="rId7" name="Drop Down 3">
              <controlPr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23556" r:id="rId8" name="Drop Down 4">
              <controlPr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23557" r:id="rId9" name="Drop Down 5">
              <controlPr defaultSize="0" autoLine="0" autoPict="0">
                <anchor moveWithCells="1">
                  <from>
                    <xdr:col>2</xdr:col>
                    <xdr:colOff>0</xdr:colOff>
                    <xdr:row>15</xdr:row>
                    <xdr:rowOff>0</xdr:rowOff>
                  </from>
                  <to>
                    <xdr:col>3</xdr:col>
                    <xdr:colOff>533400</xdr:colOff>
                    <xdr:row>16</xdr:row>
                    <xdr:rowOff>9525</xdr:rowOff>
                  </to>
                </anchor>
              </controlPr>
            </control>
          </mc:Choice>
        </mc:AlternateContent>
      </controls>
    </mc:Choice>
  </mc:AlternateContent>
  <webPublishItems count="1">
    <webPublishItem id="2893" divId="imagePROGRAF_customisable_cost_analysis_tool (2014)_2893" sourceType="sheet" destinationFile="C:\Users\Nathan\Desktop\tEST\imagePROGRAF_customisable_cost_analysis_tool (2014).htm"/>
  </webPublishItem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0000"/>
    <pageSetUpPr autoPageBreaks="0" fitToPage="1"/>
  </sheetPr>
  <dimension ref="A1:AP58"/>
  <sheetViews>
    <sheetView showGridLines="0" workbookViewId="0">
      <selection activeCell="C20" sqref="C20"/>
    </sheetView>
  </sheetViews>
  <sheetFormatPr defaultRowHeight="15" x14ac:dyDescent="0.25"/>
  <cols>
    <col min="1" max="1" width="9.140625" customWidth="1"/>
    <col min="2" max="2" width="25.28515625" customWidth="1"/>
    <col min="3" max="3" width="22.5703125" customWidth="1"/>
    <col min="4" max="4" width="20.5703125" bestFit="1" customWidth="1"/>
    <col min="5" max="5" width="17.5703125" customWidth="1"/>
    <col min="6" max="6" width="16.85546875" customWidth="1"/>
    <col min="7" max="7" width="18.42578125" customWidth="1"/>
    <col min="8" max="8" width="6.5703125" customWidth="1"/>
    <col min="9" max="9" width="13.7109375" hidden="1" customWidth="1"/>
    <col min="10" max="10" width="33.7109375" hidden="1" customWidth="1"/>
    <col min="11" max="11" width="10.7109375" hidden="1" customWidth="1"/>
    <col min="12" max="12" width="13.7109375" hidden="1" customWidth="1"/>
    <col min="13" max="13" width="33.7109375" hidden="1" customWidth="1"/>
    <col min="14" max="14" width="10.7109375" hidden="1" customWidth="1"/>
    <col min="15" max="15" width="9.140625" hidden="1" customWidth="1"/>
    <col min="17" max="17" width="12.85546875" customWidth="1"/>
    <col min="18" max="18" width="29.42578125" customWidth="1"/>
    <col min="19" max="19" width="6.140625" customWidth="1"/>
    <col min="20" max="20" width="13.7109375" customWidth="1"/>
    <col min="21" max="21" width="33.7109375" customWidth="1"/>
    <col min="22" max="22" width="7.5703125" customWidth="1"/>
    <col min="25" max="25" width="5.7109375" customWidth="1"/>
  </cols>
  <sheetData>
    <row r="1" spans="1:42" ht="15" customHeight="1" x14ac:dyDescent="0.25">
      <c r="A1" s="65"/>
      <c r="B1" s="83"/>
      <c r="C1" s="83"/>
      <c r="D1" s="83"/>
      <c r="E1" s="83"/>
      <c r="F1" s="83"/>
      <c r="G1" s="83"/>
      <c r="H1" s="83"/>
      <c r="I1" s="83"/>
      <c r="J1" s="83"/>
      <c r="K1" s="83"/>
      <c r="L1" s="83"/>
      <c r="M1" s="83"/>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row>
    <row r="2" spans="1:42" x14ac:dyDescent="0.25">
      <c r="A2" s="83"/>
      <c r="B2" s="83"/>
      <c r="C2" s="83"/>
      <c r="D2" s="83"/>
      <c r="E2" s="83"/>
      <c r="F2" s="83"/>
      <c r="G2" s="83"/>
      <c r="H2" s="83"/>
      <c r="I2" s="83"/>
      <c r="J2" s="83"/>
      <c r="K2" s="83"/>
      <c r="L2" s="83"/>
      <c r="M2" s="83"/>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row>
    <row r="3" spans="1:42" ht="13.5" customHeight="1" x14ac:dyDescent="0.25">
      <c r="A3" s="10"/>
      <c r="B3" s="10"/>
      <c r="C3" s="10"/>
      <c r="D3" s="10"/>
      <c r="E3" s="10"/>
      <c r="F3" s="10"/>
      <c r="G3" s="10"/>
      <c r="H3" s="10"/>
      <c r="I3" s="10"/>
      <c r="J3" s="10"/>
      <c r="K3" s="10"/>
      <c r="L3" s="10"/>
      <c r="M3" s="10"/>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row>
    <row r="4" spans="1:42" ht="15" customHeight="1" x14ac:dyDescent="0.25">
      <c r="A4" s="10"/>
      <c r="B4" s="10"/>
      <c r="C4" s="10"/>
      <c r="D4" s="10"/>
      <c r="E4" s="10"/>
      <c r="F4" s="10"/>
      <c r="G4" s="10"/>
      <c r="H4" s="10"/>
      <c r="I4" s="10"/>
      <c r="J4" s="10"/>
      <c r="K4" s="10"/>
      <c r="L4" s="10"/>
      <c r="M4" s="10"/>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row>
    <row r="5" spans="1:42" ht="15" customHeight="1" x14ac:dyDescent="0.25">
      <c r="B5" s="34"/>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15" customHeight="1" x14ac:dyDescent="0.25">
      <c r="B6" s="34"/>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row>
    <row r="7" spans="1:42" ht="15" customHeight="1" thickBot="1" x14ac:dyDescent="0.3">
      <c r="B7" s="36" t="s">
        <v>117</v>
      </c>
      <c r="C7" s="36" t="s">
        <v>183</v>
      </c>
      <c r="D7" s="36" t="s">
        <v>184</v>
      </c>
      <c r="I7" s="11"/>
      <c r="J7" s="12" t="s">
        <v>6</v>
      </c>
      <c r="K7" s="13"/>
      <c r="L7" s="11"/>
      <c r="M7" s="21" t="s">
        <v>25</v>
      </c>
      <c r="N7" s="21"/>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row>
    <row r="8" spans="1:42" ht="15" customHeight="1" x14ac:dyDescent="0.25">
      <c r="B8" s="34"/>
      <c r="I8" s="11" t="s">
        <v>4</v>
      </c>
      <c r="J8" s="14" t="s">
        <v>120</v>
      </c>
      <c r="K8" s="15" t="s">
        <v>3</v>
      </c>
      <c r="L8" s="11" t="s">
        <v>7</v>
      </c>
      <c r="M8" s="14" t="s">
        <v>170</v>
      </c>
      <c r="N8" s="15"/>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row>
    <row r="9" spans="1:42" ht="15" customHeight="1" thickBot="1" x14ac:dyDescent="0.3">
      <c r="B9" s="34"/>
      <c r="I9" s="16">
        <v>1</v>
      </c>
      <c r="J9" s="17" t="str">
        <f>VLOOKUP(I9,'Back-End'!$A$119:$C$138,2,FALSE)</f>
        <v>Click to select width…</v>
      </c>
      <c r="K9" s="18">
        <f>VLOOKUP(I9,'Back-End'!$A$119:$C$138,3,FALSE)</f>
        <v>0</v>
      </c>
      <c r="L9" s="16">
        <f>I9+K9</f>
        <v>1</v>
      </c>
      <c r="M9" s="45">
        <f>VLOOKUP($L9,'Back-End'!$H$119:$I$138,2,FALSE)</f>
        <v>0</v>
      </c>
      <c r="N9" s="44"/>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row>
    <row r="10" spans="1:42" ht="15" customHeight="1" thickBot="1" x14ac:dyDescent="0.3">
      <c r="B10" s="34"/>
      <c r="I10" s="11"/>
      <c r="J10" s="12" t="s">
        <v>6</v>
      </c>
      <c r="K10" s="13"/>
      <c r="L10" s="11"/>
      <c r="M10" s="21" t="s">
        <v>25</v>
      </c>
      <c r="N10" s="21"/>
      <c r="P10" s="22"/>
      <c r="Q10" s="56"/>
      <c r="R10" s="57"/>
      <c r="S10" s="58"/>
      <c r="T10" s="56"/>
      <c r="U10" s="57"/>
      <c r="V10" s="57"/>
      <c r="W10" s="22"/>
      <c r="X10" s="22"/>
      <c r="Y10" s="22"/>
      <c r="Z10" s="22"/>
      <c r="AA10" s="22"/>
      <c r="AB10" s="22"/>
      <c r="AC10" s="22"/>
      <c r="AD10" s="22"/>
      <c r="AE10" s="22"/>
      <c r="AF10" s="22"/>
      <c r="AG10" s="22"/>
      <c r="AH10" s="22"/>
      <c r="AI10" s="22"/>
      <c r="AJ10" s="22"/>
      <c r="AK10" s="22"/>
      <c r="AL10" s="22"/>
      <c r="AM10" s="22"/>
      <c r="AN10" s="22"/>
      <c r="AO10" s="22"/>
      <c r="AP10" s="22"/>
    </row>
    <row r="11" spans="1:42" ht="15" customHeight="1" x14ac:dyDescent="0.25">
      <c r="B11" s="34"/>
      <c r="I11" s="11" t="s">
        <v>4</v>
      </c>
      <c r="J11" s="14" t="s">
        <v>148</v>
      </c>
      <c r="K11" s="15" t="s">
        <v>3</v>
      </c>
      <c r="L11" s="11" t="s">
        <v>7</v>
      </c>
      <c r="M11" s="14" t="s">
        <v>170</v>
      </c>
      <c r="N11" s="15" t="s">
        <v>171</v>
      </c>
      <c r="P11" s="22"/>
      <c r="Q11" s="56"/>
      <c r="R11" s="56"/>
      <c r="S11" s="56"/>
      <c r="T11" s="56"/>
      <c r="U11" s="56"/>
      <c r="V11" s="56"/>
      <c r="W11" s="22"/>
      <c r="X11" s="22"/>
      <c r="Y11" s="22"/>
      <c r="Z11" s="22"/>
      <c r="AA11" s="22"/>
      <c r="AB11" s="22"/>
      <c r="AC11" s="22"/>
      <c r="AD11" s="22"/>
      <c r="AE11" s="22"/>
      <c r="AF11" s="22"/>
      <c r="AG11" s="22"/>
      <c r="AH11" s="22"/>
      <c r="AI11" s="22"/>
      <c r="AJ11" s="22"/>
      <c r="AK11" s="22"/>
      <c r="AL11" s="22"/>
      <c r="AM11" s="22"/>
      <c r="AN11" s="22"/>
      <c r="AO11" s="22"/>
      <c r="AP11" s="22"/>
    </row>
    <row r="12" spans="1:42" s="7" customFormat="1" ht="15" customHeight="1" thickBot="1" x14ac:dyDescent="0.3">
      <c r="I12" s="16">
        <v>1</v>
      </c>
      <c r="J12" s="17" t="str">
        <f>VLOOKUP(I12,'Back-End'!$A$143:$C$163,2,FALSE)</f>
        <v>Click to select size…</v>
      </c>
      <c r="K12" s="18">
        <f>VLOOKUP(I12,'Back-End'!$A$143:$C$1166,3,FALSE)</f>
        <v>0</v>
      </c>
      <c r="L12" s="16">
        <f>I12+K12</f>
        <v>1</v>
      </c>
      <c r="M12" s="45" t="e">
        <f>VLOOKUP($L12,'Back-End'!$H$144:$I$164,2,FALSE)</f>
        <v>#N/A</v>
      </c>
      <c r="N12" s="45" t="e">
        <f>VLOOKUP($L12,'Back-End'!$J$144:$K$164,2,FALSE)</f>
        <v>#N/A</v>
      </c>
      <c r="P12" s="49"/>
      <c r="Q12" s="59"/>
      <c r="R12" s="59"/>
      <c r="S12" s="59"/>
      <c r="T12" s="59"/>
      <c r="U12" s="60"/>
      <c r="V12" s="60"/>
      <c r="W12" s="49"/>
      <c r="X12" s="49"/>
      <c r="Y12" s="49"/>
      <c r="Z12" s="49"/>
      <c r="AA12" s="49"/>
      <c r="AB12" s="49"/>
      <c r="AC12" s="49"/>
      <c r="AD12" s="49"/>
      <c r="AE12" s="49"/>
      <c r="AF12" s="49"/>
      <c r="AG12" s="49"/>
      <c r="AH12" s="49"/>
      <c r="AI12" s="49"/>
      <c r="AJ12" s="49"/>
      <c r="AK12" s="49"/>
      <c r="AL12" s="49"/>
      <c r="AM12" s="49"/>
      <c r="AN12" s="49"/>
      <c r="AO12" s="49"/>
      <c r="AP12" s="49"/>
    </row>
    <row r="13" spans="1:42" ht="15" customHeight="1" thickBot="1" x14ac:dyDescent="0.3">
      <c r="B13" s="37" t="s">
        <v>72</v>
      </c>
      <c r="C13" s="37" t="s">
        <v>185</v>
      </c>
      <c r="D13" s="37" t="s">
        <v>186</v>
      </c>
      <c r="I13" s="11"/>
      <c r="J13" s="12" t="s">
        <v>6</v>
      </c>
      <c r="K13" s="13"/>
      <c r="L13" s="11"/>
      <c r="M13" s="21" t="s">
        <v>25</v>
      </c>
      <c r="N13" s="21"/>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row>
    <row r="14" spans="1:42" ht="15" customHeight="1" x14ac:dyDescent="0.3">
      <c r="B14" s="35"/>
      <c r="I14" s="11" t="s">
        <v>4</v>
      </c>
      <c r="J14" s="14" t="s">
        <v>147</v>
      </c>
      <c r="K14" s="15" t="s">
        <v>3</v>
      </c>
      <c r="L14" s="11" t="s">
        <v>7</v>
      </c>
      <c r="M14" s="14" t="s">
        <v>172</v>
      </c>
      <c r="N14" s="15"/>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2" ht="15" customHeight="1" thickBot="1" x14ac:dyDescent="0.3">
      <c r="B15" s="29" t="s">
        <v>24</v>
      </c>
      <c r="C15" s="26"/>
      <c r="I15" s="16">
        <v>1</v>
      </c>
      <c r="J15" s="17" t="str">
        <f>VLOOKUP(I15,'Back-End'!$D$119:$F$127,2,FALSE)</f>
        <v>Click to select length…</v>
      </c>
      <c r="K15" s="18">
        <f>VLOOKUP(I15,'Back-End'!$D$119:$F$127,3,FALSE)</f>
        <v>1</v>
      </c>
      <c r="L15" s="16">
        <f>I15+K15</f>
        <v>2</v>
      </c>
      <c r="M15" s="45" t="e">
        <f>VLOOKUP($L15,'Back-End'!$J$120:$K$127,2,FALSE)</f>
        <v>#N/A</v>
      </c>
      <c r="N15" s="44"/>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2" ht="15" customHeight="1" x14ac:dyDescent="0.25">
      <c r="B16" s="29" t="s">
        <v>17</v>
      </c>
      <c r="C16" s="26"/>
      <c r="D16" s="24"/>
      <c r="E16" s="24"/>
      <c r="F16" s="24"/>
      <c r="J16" s="24"/>
      <c r="K16" s="24"/>
      <c r="L16" s="24"/>
      <c r="M16" s="24"/>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3" customFormat="1" ht="15" customHeight="1" thickBot="1" x14ac:dyDescent="0.3">
      <c r="A17" s="24"/>
      <c r="B17" s="28" t="s">
        <v>29</v>
      </c>
      <c r="C17" s="28"/>
      <c r="D17" s="24"/>
      <c r="E17" s="24"/>
      <c r="F17" s="24"/>
      <c r="I17" s="11"/>
      <c r="J17" s="12" t="s">
        <v>6</v>
      </c>
      <c r="K17" s="13"/>
      <c r="L17"/>
      <c r="M17"/>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row>
    <row r="18" spans="1:42" ht="15" customHeight="1" x14ac:dyDescent="0.25">
      <c r="B18" s="29" t="s">
        <v>111</v>
      </c>
      <c r="C18" s="33">
        <v>0</v>
      </c>
      <c r="D18" s="24"/>
      <c r="E18" s="28" t="s">
        <v>26</v>
      </c>
      <c r="F18" s="30"/>
      <c r="G18" s="28"/>
      <c r="I18" s="11" t="s">
        <v>4</v>
      </c>
      <c r="J18" s="14" t="s">
        <v>5</v>
      </c>
      <c r="K18" s="15" t="s">
        <v>3</v>
      </c>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2" ht="15" customHeight="1" thickBot="1" x14ac:dyDescent="0.3">
      <c r="B19" s="29" t="s">
        <v>112</v>
      </c>
      <c r="C19" s="33">
        <v>0</v>
      </c>
      <c r="D19" s="24"/>
      <c r="E19" s="31"/>
      <c r="F19" s="25" t="s">
        <v>187</v>
      </c>
      <c r="G19" s="25" t="s">
        <v>198</v>
      </c>
      <c r="I19" s="16">
        <v>3</v>
      </c>
      <c r="J19" s="17" t="str">
        <f>VLOOKUP(I19,'Back-End'!$A$39:$C$41,2,FALSE)</f>
        <v>Travel</v>
      </c>
      <c r="K19" s="18">
        <f>VLOOKUP(I19,'Back-End'!$A$39:$C$41,3,FALSE)</f>
        <v>30</v>
      </c>
      <c r="L19" s="3"/>
      <c r="M19" s="3"/>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ht="15" customHeight="1" thickBot="1" x14ac:dyDescent="0.3">
      <c r="B20" s="29" t="s">
        <v>18</v>
      </c>
      <c r="C20" s="46">
        <v>0</v>
      </c>
      <c r="D20" s="24"/>
      <c r="E20" s="29" t="s">
        <v>21</v>
      </c>
      <c r="F20" s="32" t="str">
        <f>IFERROR(((K26*0.85)*((M12/1000*N12/1000))*(C22/130)),"-")</f>
        <v>-</v>
      </c>
      <c r="G20" s="32" t="str">
        <f>IFERROR(((K26*0.85)*((M12/1000*N12/1000))*(C23/300)),"-")</f>
        <v>-</v>
      </c>
      <c r="I20" s="11"/>
      <c r="J20" s="12" t="s">
        <v>6</v>
      </c>
      <c r="K20" s="1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s="3" customFormat="1" ht="15" customHeight="1" x14ac:dyDescent="0.25">
      <c r="B21" s="28" t="s">
        <v>28</v>
      </c>
      <c r="C21" s="28"/>
      <c r="D21" s="24"/>
      <c r="E21" s="29" t="s">
        <v>22</v>
      </c>
      <c r="F21" s="32" t="str">
        <f>IFERROR(((M12/1000*N12/1000))*(F24),"-")</f>
        <v>-</v>
      </c>
      <c r="G21" s="32" t="str">
        <f>IFERROR(((M12/1000*N12/1000))*(F24),"-")</f>
        <v>-</v>
      </c>
      <c r="I21" s="11" t="s">
        <v>4</v>
      </c>
      <c r="J21" s="14" t="s">
        <v>5</v>
      </c>
      <c r="K21" s="15" t="s">
        <v>3</v>
      </c>
      <c r="L21"/>
      <c r="M21"/>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row>
    <row r="22" spans="1:42" ht="15" customHeight="1" thickBot="1" x14ac:dyDescent="0.3">
      <c r="B22" s="29" t="s">
        <v>71</v>
      </c>
      <c r="C22" s="47">
        <v>0</v>
      </c>
      <c r="D22" s="24"/>
      <c r="E22" s="88" t="s">
        <v>23</v>
      </c>
      <c r="F22" s="89" t="str">
        <f>IFERROR(F20+F21,"-")</f>
        <v>-</v>
      </c>
      <c r="G22" s="89" t="str">
        <f>IFERROR(G20+G21,"-")</f>
        <v>-</v>
      </c>
      <c r="I22" s="11">
        <v>3</v>
      </c>
      <c r="J22" s="19" t="str">
        <f>VLOOKUP($I22,'Back-End'!$D$39:$F$46,2,FALSE)</f>
        <v>Glossy Photo 240gsm</v>
      </c>
      <c r="K22" s="20">
        <f>VLOOKUP($I22,'Back-End'!$D$39:$F$46,3,FALSE)</f>
        <v>3</v>
      </c>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row>
    <row r="23" spans="1:42" ht="15" customHeight="1" x14ac:dyDescent="0.25">
      <c r="B23" s="29" t="s">
        <v>197</v>
      </c>
      <c r="C23" s="47">
        <v>0</v>
      </c>
      <c r="D23" s="24"/>
      <c r="E23" s="29" t="s">
        <v>113</v>
      </c>
      <c r="F23" s="86" t="str">
        <f>IFERROR(F20/((M12/1000*N12/1000)),"-")</f>
        <v>-</v>
      </c>
      <c r="G23" s="86" t="str">
        <f>IFERROR(G20/((M12/1000*N12/1000)),"-")</f>
        <v>-</v>
      </c>
      <c r="I23" s="16"/>
      <c r="J23" s="16"/>
      <c r="K23" s="16"/>
      <c r="L23" s="3"/>
      <c r="M23" s="3"/>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1:42" s="3" customFormat="1" ht="15" customHeight="1" thickBot="1" x14ac:dyDescent="0.3">
      <c r="B24" s="28" t="s">
        <v>200</v>
      </c>
      <c r="C24" s="25"/>
      <c r="D24" s="42"/>
      <c r="E24" s="85" t="s">
        <v>114</v>
      </c>
      <c r="F24" s="32" t="str">
        <f>IFERROR(C20/((M15*M9/1000)),"-")</f>
        <v>-</v>
      </c>
      <c r="G24" s="32" t="str">
        <f>IFERROR(C20/((M15*M9/1000)),"-")</f>
        <v>-</v>
      </c>
      <c r="H24" s="24"/>
      <c r="I24" s="11"/>
      <c r="J24" s="21" t="s">
        <v>25</v>
      </c>
      <c r="K24" s="21"/>
      <c r="L24"/>
      <c r="M24"/>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row>
    <row r="25" spans="1:42" ht="15" customHeight="1" x14ac:dyDescent="0.25">
      <c r="D25" s="24"/>
      <c r="E25" s="48" t="s">
        <v>115</v>
      </c>
      <c r="F25" s="87" t="str">
        <f>IFERROR(F23+F24,"-")</f>
        <v>-</v>
      </c>
      <c r="G25" s="87" t="str">
        <f>IFERROR(G23+G24,"-")</f>
        <v>-</v>
      </c>
      <c r="H25" s="24"/>
      <c r="I25" s="11" t="s">
        <v>7</v>
      </c>
      <c r="J25" s="14" t="s">
        <v>13</v>
      </c>
      <c r="K25" s="15" t="s">
        <v>14</v>
      </c>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row>
    <row r="26" spans="1:42" ht="15" customHeight="1" thickBot="1" x14ac:dyDescent="0.3">
      <c r="B26" s="61" t="s">
        <v>180</v>
      </c>
      <c r="C26" s="53" t="s">
        <v>181</v>
      </c>
      <c r="D26" s="24"/>
      <c r="E26" s="29" t="s">
        <v>199</v>
      </c>
      <c r="F26" s="33" t="str">
        <f>IFERROR((130*6)/(K26*0.85)/(M12/1000*N12/1000),"-")</f>
        <v>-</v>
      </c>
      <c r="G26" s="33" t="str">
        <f>IFERROR((300*6)/(K26*0.85)/(M12/1000*N12/1000),"-")</f>
        <v>-</v>
      </c>
      <c r="H26" s="24"/>
      <c r="I26" s="16">
        <f>K19+K22</f>
        <v>33</v>
      </c>
      <c r="J26" s="17" t="str">
        <f>VLOOKUP($I26,'Back-End'!$H$39:$K$62,2,FALSE)</f>
        <v>Travel- Glossy Photo</v>
      </c>
      <c r="K26" s="18">
        <f>VLOOKUP($I26,'Back-End'!$H$39:$K$62,3,FALSE)</f>
        <v>7.3168000000000006</v>
      </c>
      <c r="L26" s="3"/>
      <c r="M26" s="3"/>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row>
    <row r="27" spans="1:42" ht="15.75" x14ac:dyDescent="0.25">
      <c r="B27" s="54" t="str">
        <f>IFERROR(M12,"-")</f>
        <v>-</v>
      </c>
      <c r="C27" s="54" t="str">
        <f>IFERROR(N12,"-")</f>
        <v>-</v>
      </c>
      <c r="D27" s="24"/>
      <c r="E27" s="24"/>
      <c r="F27" s="24"/>
      <c r="G27" s="24"/>
      <c r="H27" s="24"/>
      <c r="I27" s="24"/>
      <c r="J27" s="24"/>
      <c r="K27" s="24"/>
      <c r="L27" s="24"/>
      <c r="M27" s="24"/>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row>
    <row r="28" spans="1:42" ht="15.75" x14ac:dyDescent="0.25">
      <c r="E28" s="24"/>
      <c r="F28" s="24"/>
      <c r="G28" s="24"/>
      <c r="H28" s="24"/>
      <c r="I28" s="24"/>
      <c r="J28" s="24"/>
      <c r="K28" s="24"/>
      <c r="L28" s="24"/>
      <c r="M28" s="24"/>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row>
    <row r="29" spans="1:42" ht="21.75" customHeight="1" x14ac:dyDescent="0.25">
      <c r="C29" s="236" t="s">
        <v>201</v>
      </c>
      <c r="D29" s="236"/>
      <c r="E29" s="236"/>
      <c r="F29" s="236"/>
      <c r="G29" s="26"/>
      <c r="H29" s="26"/>
      <c r="I29" s="26"/>
      <c r="J29" s="26"/>
      <c r="K29" s="26"/>
      <c r="L29" s="26"/>
      <c r="M29" s="26"/>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row>
    <row r="30" spans="1:42" ht="12" customHeight="1" x14ac:dyDescent="0.25">
      <c r="C30" s="236"/>
      <c r="D30" s="236"/>
      <c r="E30" s="236"/>
      <c r="F30" s="236"/>
      <c r="G30" s="26"/>
      <c r="H30" s="26"/>
      <c r="I30" s="26"/>
      <c r="J30" s="26"/>
      <c r="K30" s="26"/>
      <c r="L30" s="26"/>
      <c r="M30" s="26"/>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row>
    <row r="31" spans="1:42" ht="15.75" x14ac:dyDescent="0.25">
      <c r="A31" s="22"/>
      <c r="B31" s="22"/>
      <c r="C31" s="22"/>
      <c r="D31" s="22"/>
      <c r="E31" s="51"/>
      <c r="F31" s="51"/>
      <c r="G31" s="51"/>
      <c r="H31" s="51"/>
      <c r="I31" s="27"/>
      <c r="J31" s="27"/>
      <c r="K31" s="27"/>
      <c r="L31" s="27"/>
      <c r="M31" s="27"/>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row>
    <row r="32" spans="1:42" ht="15.75" x14ac:dyDescent="0.25">
      <c r="A32" s="22"/>
      <c r="B32" s="22"/>
      <c r="C32" s="22"/>
      <c r="D32" s="22"/>
      <c r="E32" s="51"/>
      <c r="F32" s="51"/>
      <c r="G32" s="51"/>
      <c r="H32" s="51"/>
      <c r="I32" s="51"/>
      <c r="J32" s="51"/>
      <c r="K32" s="51"/>
      <c r="L32" s="51"/>
      <c r="M32" s="51"/>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row>
    <row r="33" spans="1:42" ht="15.75" x14ac:dyDescent="0.25">
      <c r="A33" s="22"/>
      <c r="B33" s="22"/>
      <c r="C33" s="22"/>
      <c r="D33" s="22"/>
      <c r="E33" s="51"/>
      <c r="F33" s="51"/>
      <c r="G33" s="51"/>
      <c r="H33" s="51"/>
      <c r="I33" s="51"/>
      <c r="J33" s="51"/>
      <c r="K33" s="51"/>
      <c r="L33" s="51"/>
      <c r="M33" s="51"/>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row>
    <row r="34" spans="1:42" ht="15.75" x14ac:dyDescent="0.25">
      <c r="A34" s="22"/>
      <c r="B34" s="22"/>
      <c r="C34" s="22"/>
      <c r="D34" s="22"/>
      <c r="E34" s="51"/>
      <c r="F34" s="51"/>
      <c r="G34" s="51"/>
      <c r="H34" s="51"/>
      <c r="I34" s="51"/>
      <c r="J34" s="51"/>
      <c r="K34" s="51"/>
      <c r="L34" s="51"/>
      <c r="M34" s="51"/>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row>
    <row r="35" spans="1:42" ht="15.75" x14ac:dyDescent="0.25">
      <c r="A35" s="22"/>
      <c r="B35" s="22"/>
      <c r="C35" s="22"/>
      <c r="D35" s="22"/>
      <c r="E35" s="51"/>
      <c r="F35" s="51"/>
      <c r="G35" s="51"/>
      <c r="H35" s="51"/>
      <c r="I35" s="51"/>
      <c r="J35" s="51"/>
      <c r="K35" s="51"/>
      <c r="L35" s="51"/>
      <c r="M35" s="51"/>
      <c r="N35" s="22"/>
      <c r="O35" s="22"/>
      <c r="P35" s="22"/>
      <c r="Q35" s="22"/>
      <c r="R35" s="22"/>
      <c r="S35" s="22"/>
      <c r="T35" s="22"/>
      <c r="U35" s="22"/>
      <c r="V35" s="22"/>
      <c r="W35" s="22"/>
      <c r="X35" s="22"/>
      <c r="Y35" s="22"/>
      <c r="Z35" s="22"/>
      <c r="AA35" s="22"/>
      <c r="AB35" s="22"/>
    </row>
    <row r="36" spans="1:42" ht="15.75" x14ac:dyDescent="0.25">
      <c r="A36" s="22"/>
      <c r="B36" s="22"/>
      <c r="C36" s="22"/>
      <c r="D36" s="22"/>
      <c r="E36" s="51"/>
      <c r="F36" s="51"/>
      <c r="G36" s="51"/>
      <c r="H36" s="51"/>
      <c r="I36" s="51"/>
      <c r="J36" s="51"/>
      <c r="K36" s="51"/>
      <c r="L36" s="51"/>
      <c r="M36" s="51"/>
      <c r="N36" s="22"/>
      <c r="O36" s="22"/>
      <c r="P36" s="22"/>
      <c r="Q36" s="22"/>
      <c r="R36" s="22"/>
      <c r="S36" s="22"/>
      <c r="T36" s="22"/>
      <c r="U36" s="22"/>
      <c r="V36" s="22"/>
      <c r="W36" s="22"/>
      <c r="X36" s="22"/>
      <c r="Y36" s="22"/>
      <c r="Z36" s="22"/>
      <c r="AA36" s="22"/>
      <c r="AB36" s="22"/>
    </row>
    <row r="37" spans="1:42" ht="15.75" x14ac:dyDescent="0.25">
      <c r="A37" s="22"/>
      <c r="B37" s="22"/>
      <c r="C37" s="22"/>
      <c r="D37" s="22"/>
      <c r="E37" s="52"/>
      <c r="F37" s="52"/>
      <c r="G37" s="52"/>
      <c r="H37" s="52"/>
      <c r="I37" s="52"/>
      <c r="J37" s="52"/>
      <c r="K37" s="52"/>
      <c r="L37" s="52"/>
      <c r="M37" s="52"/>
      <c r="N37" s="22"/>
      <c r="O37" s="22"/>
      <c r="P37" s="22"/>
      <c r="Q37" s="22"/>
      <c r="R37" s="22"/>
      <c r="S37" s="22"/>
      <c r="T37" s="22"/>
      <c r="U37" s="22"/>
      <c r="V37" s="22"/>
      <c r="W37" s="22"/>
      <c r="X37" s="22"/>
      <c r="Y37" s="22"/>
      <c r="Z37" s="22"/>
      <c r="AA37" s="22"/>
      <c r="AB37" s="22"/>
    </row>
    <row r="38" spans="1:42"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42"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42"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42"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42" x14ac:dyDescent="0.25">
      <c r="A42" s="84"/>
      <c r="B42" s="84"/>
      <c r="C42" s="84"/>
      <c r="D42" s="84"/>
      <c r="E42" s="84"/>
      <c r="F42" s="84"/>
      <c r="G42" s="84"/>
      <c r="H42" s="84"/>
      <c r="I42" s="84"/>
      <c r="J42" s="84"/>
      <c r="K42" s="84"/>
      <c r="L42" s="84"/>
      <c r="M42" s="84"/>
      <c r="N42" s="84"/>
      <c r="O42" s="84"/>
      <c r="P42" s="84"/>
      <c r="Q42" s="84"/>
      <c r="R42" s="84"/>
      <c r="S42" s="84"/>
      <c r="T42" s="84"/>
      <c r="U42" s="84"/>
      <c r="V42" s="84"/>
      <c r="W42" s="84"/>
      <c r="X42" s="84"/>
      <c r="Y42" s="22"/>
      <c r="Z42" s="22"/>
      <c r="AA42" s="22"/>
      <c r="AB42" s="22"/>
    </row>
    <row r="43" spans="1:42" x14ac:dyDescent="0.25">
      <c r="A43" s="84"/>
      <c r="B43" s="84"/>
      <c r="C43" s="84"/>
      <c r="D43" s="84"/>
      <c r="E43" s="84"/>
      <c r="F43" s="84"/>
      <c r="G43" s="84"/>
      <c r="H43" s="84"/>
      <c r="I43" s="84"/>
      <c r="J43" s="84"/>
      <c r="K43" s="84"/>
      <c r="L43" s="84"/>
      <c r="M43" s="84"/>
      <c r="N43" s="84"/>
      <c r="O43" s="84"/>
      <c r="P43" s="84"/>
      <c r="Q43" s="84"/>
      <c r="R43" s="84"/>
      <c r="S43" s="84"/>
      <c r="T43" s="84"/>
      <c r="U43" s="84"/>
      <c r="V43" s="84"/>
      <c r="W43" s="84"/>
      <c r="X43" s="84"/>
      <c r="Y43" s="22"/>
      <c r="Z43" s="22"/>
      <c r="AA43" s="22"/>
      <c r="AB43" s="22"/>
    </row>
    <row r="44" spans="1:42" x14ac:dyDescent="0.25">
      <c r="A44" s="84"/>
      <c r="B44" s="84"/>
      <c r="C44" s="84"/>
      <c r="D44" s="84"/>
      <c r="E44" s="84"/>
      <c r="F44" s="84"/>
      <c r="G44" s="84"/>
      <c r="H44" s="84"/>
      <c r="I44" s="84"/>
      <c r="J44" s="84"/>
      <c r="K44" s="84"/>
      <c r="L44" s="84"/>
      <c r="M44" s="84"/>
      <c r="N44" s="84"/>
      <c r="O44" s="84"/>
      <c r="P44" s="84"/>
      <c r="Q44" s="84"/>
      <c r="R44" s="84"/>
      <c r="S44" s="84"/>
      <c r="T44" s="84"/>
      <c r="U44" s="84"/>
      <c r="V44" s="84"/>
      <c r="W44" s="84"/>
      <c r="X44" s="84"/>
    </row>
    <row r="45" spans="1:42"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row>
    <row r="46" spans="1:42"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row>
    <row r="47" spans="1:42" x14ac:dyDescent="0.25">
      <c r="A47" s="84"/>
      <c r="B47" s="84"/>
      <c r="C47" s="84"/>
      <c r="D47" s="84"/>
      <c r="E47" s="84"/>
      <c r="F47" s="84"/>
      <c r="G47" s="84"/>
      <c r="H47" s="84"/>
      <c r="I47" s="84"/>
      <c r="J47" s="84"/>
      <c r="K47" s="84"/>
      <c r="L47" s="84"/>
      <c r="M47" s="84"/>
      <c r="N47" s="84"/>
      <c r="O47" s="84"/>
      <c r="P47" s="84"/>
      <c r="Q47" s="84"/>
      <c r="R47" s="84"/>
      <c r="S47" s="84"/>
      <c r="T47" s="84"/>
      <c r="U47" s="84"/>
      <c r="V47" s="84"/>
      <c r="W47" s="84"/>
      <c r="X47" s="84"/>
    </row>
    <row r="48" spans="1:42"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row>
    <row r="49" spans="1:24"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row>
    <row r="50" spans="1:24"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row>
    <row r="51" spans="1:24"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row>
    <row r="52" spans="1:24"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row>
    <row r="53" spans="1:24"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row>
    <row r="54" spans="1:24"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row>
    <row r="55" spans="1:24"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row>
    <row r="56" spans="1:24"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row>
    <row r="57" spans="1:24"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row>
    <row r="58" spans="1:24"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row>
  </sheetData>
  <sheetProtection password="CF7A" sheet="1" selectLockedCells="1"/>
  <mergeCells count="1">
    <mergeCell ref="C29:F30"/>
  </mergeCells>
  <pageMargins left="0.74803149606299213" right="0.74803149606299213" top="0.98425196850393704" bottom="0.98425196850393704" header="0.51181102362204722" footer="0.51181102362204722"/>
  <pageSetup paperSize="9" scale="94"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25601" r:id="rId5" name="Drop Down 1">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mc:AlternateContent xmlns:mc="http://schemas.openxmlformats.org/markup-compatibility/2006">
          <mc:Choice Requires="x14">
            <control shapeId="25602" r:id="rId6" name="Drop Down 2">
              <controlPr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25603" r:id="rId7" name="Drop Down 3">
              <controlPr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25604" r:id="rId8" name="Drop Down 4">
              <controlPr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25605" r:id="rId9" name="Drop Down 5">
              <controlPr defaultSize="0" autoLine="0" autoPict="0">
                <anchor moveWithCells="1">
                  <from>
                    <xdr:col>2</xdr:col>
                    <xdr:colOff>0</xdr:colOff>
                    <xdr:row>15</xdr:row>
                    <xdr:rowOff>0</xdr:rowOff>
                  </from>
                  <to>
                    <xdr:col>3</xdr:col>
                    <xdr:colOff>533400</xdr:colOff>
                    <xdr:row>16</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54"/>
    <pageSetUpPr autoPageBreaks="0" fitToPage="1"/>
  </sheetPr>
  <dimension ref="A1:AP58"/>
  <sheetViews>
    <sheetView showGridLines="0" zoomScale="110" zoomScaleNormal="110" workbookViewId="0">
      <selection activeCell="C23" sqref="C23"/>
    </sheetView>
  </sheetViews>
  <sheetFormatPr defaultColWidth="9.140625" defaultRowHeight="21.75" x14ac:dyDescent="0.25"/>
  <cols>
    <col min="1" max="1" width="9.140625" style="143" customWidth="1"/>
    <col min="2" max="2" width="25.28515625" style="143" customWidth="1"/>
    <col min="3" max="3" width="22.5703125" style="143" customWidth="1"/>
    <col min="4" max="4" width="20.5703125" style="143" bestFit="1" customWidth="1"/>
    <col min="5" max="5" width="17.5703125" style="143" customWidth="1"/>
    <col min="6" max="6" width="16.85546875" style="143" customWidth="1"/>
    <col min="7" max="7" width="18.42578125" style="143" customWidth="1"/>
    <col min="8" max="8" width="9.5703125" style="143" customWidth="1"/>
    <col min="9" max="9" width="13.7109375" style="143" hidden="1" customWidth="1"/>
    <col min="10" max="10" width="33.7109375" style="143" hidden="1" customWidth="1"/>
    <col min="11" max="11" width="10.7109375" style="143" hidden="1" customWidth="1"/>
    <col min="12" max="12" width="13.7109375" style="143" hidden="1" customWidth="1"/>
    <col min="13" max="13" width="33.7109375" style="143" hidden="1" customWidth="1"/>
    <col min="14" max="14" width="10.7109375" style="143" hidden="1" customWidth="1"/>
    <col min="15" max="15" width="9.140625" style="143" hidden="1" customWidth="1"/>
    <col min="16" max="16" width="9.140625" style="143"/>
    <col min="17" max="17" width="12.85546875" style="143" customWidth="1"/>
    <col min="18" max="18" width="29.42578125" style="143" customWidth="1"/>
    <col min="19" max="19" width="6.140625" style="143" customWidth="1"/>
    <col min="20" max="20" width="13.7109375" style="143" customWidth="1"/>
    <col min="21" max="21" width="33.7109375" style="143" customWidth="1"/>
    <col min="22" max="22" width="7.5703125" style="143" customWidth="1"/>
    <col min="23" max="24" width="9.140625" style="143"/>
    <col min="25" max="25" width="5.7109375" style="143" customWidth="1"/>
    <col min="26" max="16384" width="9.140625" style="143"/>
  </cols>
  <sheetData>
    <row r="1" spans="1:42" ht="15" customHeight="1" x14ac:dyDescent="0.25">
      <c r="A1" s="94"/>
      <c r="B1" s="95"/>
      <c r="C1" s="95"/>
      <c r="D1" s="95"/>
      <c r="E1" s="95"/>
      <c r="F1" s="95"/>
      <c r="G1" s="95"/>
      <c r="H1" s="95"/>
      <c r="I1" s="95"/>
      <c r="J1" s="95"/>
      <c r="K1" s="95"/>
      <c r="L1" s="95"/>
      <c r="M1" s="95"/>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row>
    <row r="2" spans="1:42" x14ac:dyDescent="0.25">
      <c r="A2" s="95"/>
      <c r="B2" s="95"/>
      <c r="C2" s="95"/>
      <c r="D2" s="95"/>
      <c r="E2" s="95"/>
      <c r="F2" s="95"/>
      <c r="G2" s="95"/>
      <c r="H2" s="95"/>
      <c r="I2" s="95"/>
      <c r="J2" s="95"/>
      <c r="K2" s="95"/>
      <c r="L2" s="95"/>
      <c r="M2" s="95"/>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row>
    <row r="3" spans="1:42" ht="13.5" customHeight="1" x14ac:dyDescent="0.25">
      <c r="A3" s="97"/>
      <c r="B3" s="97"/>
      <c r="C3" s="97"/>
      <c r="D3" s="97"/>
      <c r="E3" s="97"/>
      <c r="F3" s="97"/>
      <c r="G3" s="97"/>
      <c r="H3" s="97"/>
      <c r="I3" s="97"/>
      <c r="J3" s="97"/>
      <c r="K3" s="97"/>
      <c r="L3" s="97"/>
      <c r="M3" s="97"/>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row>
    <row r="4" spans="1:42" ht="15" customHeight="1" x14ac:dyDescent="0.25">
      <c r="A4" s="97"/>
      <c r="B4" s="97"/>
      <c r="C4" s="97"/>
      <c r="D4" s="97"/>
      <c r="E4" s="97"/>
      <c r="F4" s="97"/>
      <c r="G4" s="97"/>
      <c r="H4" s="97"/>
      <c r="I4" s="97"/>
      <c r="J4" s="97"/>
      <c r="K4" s="97"/>
      <c r="L4" s="97"/>
      <c r="M4" s="97"/>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row>
    <row r="5" spans="1:42" ht="15" customHeight="1" x14ac:dyDescent="0.25">
      <c r="B5" s="149"/>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row>
    <row r="6" spans="1:42" ht="15" customHeight="1" x14ac:dyDescent="0.25">
      <c r="B6" s="149"/>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row>
    <row r="7" spans="1:42" ht="15" customHeight="1" thickBot="1" x14ac:dyDescent="0.3">
      <c r="B7" s="139" t="s">
        <v>117</v>
      </c>
      <c r="C7" s="139" t="s">
        <v>188</v>
      </c>
      <c r="D7" s="139" t="s">
        <v>189</v>
      </c>
      <c r="I7" s="150"/>
      <c r="J7" s="151" t="s">
        <v>6</v>
      </c>
      <c r="K7" s="152"/>
      <c r="L7" s="150"/>
      <c r="M7" s="153" t="s">
        <v>25</v>
      </c>
      <c r="N7" s="153"/>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row>
    <row r="8" spans="1:42" ht="15" customHeight="1" x14ac:dyDescent="0.25">
      <c r="B8" s="149"/>
      <c r="I8" s="150" t="s">
        <v>4</v>
      </c>
      <c r="J8" s="154" t="s">
        <v>120</v>
      </c>
      <c r="K8" s="155" t="s">
        <v>3</v>
      </c>
      <c r="L8" s="150" t="s">
        <v>7</v>
      </c>
      <c r="M8" s="154" t="s">
        <v>170</v>
      </c>
      <c r="N8" s="155"/>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row>
    <row r="9" spans="1:42" ht="15" customHeight="1" thickBot="1" x14ac:dyDescent="0.3">
      <c r="B9" s="149"/>
      <c r="I9" s="156">
        <v>13</v>
      </c>
      <c r="J9" s="157" t="str">
        <f>VLOOKUP(I9,'Back-End'!$A$119:$C$138,2,FALSE)</f>
        <v>841mm (A0/A1 roll)</v>
      </c>
      <c r="K9" s="158">
        <f>VLOOKUP(I9,'Back-End'!$A$119:$C$138,3,FALSE)</f>
        <v>0</v>
      </c>
      <c r="L9" s="156">
        <f>I9+K9</f>
        <v>13</v>
      </c>
      <c r="M9" s="159">
        <f>VLOOKUP($L9,'Back-End'!$H$119:$I$138,2,FALSE)</f>
        <v>914.4</v>
      </c>
      <c r="N9" s="160"/>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row>
    <row r="10" spans="1:42" ht="15" customHeight="1" thickBot="1" x14ac:dyDescent="0.3">
      <c r="B10" s="149"/>
      <c r="I10" s="150"/>
      <c r="J10" s="151" t="s">
        <v>6</v>
      </c>
      <c r="K10" s="152"/>
      <c r="L10" s="150"/>
      <c r="M10" s="153" t="s">
        <v>25</v>
      </c>
      <c r="N10" s="153"/>
      <c r="P10" s="148"/>
      <c r="Q10" s="161"/>
      <c r="R10" s="162"/>
      <c r="S10" s="163"/>
      <c r="T10" s="161"/>
      <c r="U10" s="162"/>
      <c r="V10" s="162"/>
      <c r="W10" s="148"/>
      <c r="X10" s="148"/>
      <c r="Y10" s="148"/>
      <c r="Z10" s="148"/>
      <c r="AA10" s="148"/>
      <c r="AB10" s="148"/>
      <c r="AC10" s="148"/>
      <c r="AD10" s="148"/>
      <c r="AE10" s="148"/>
      <c r="AF10" s="148"/>
      <c r="AG10" s="148"/>
      <c r="AH10" s="148"/>
      <c r="AI10" s="148"/>
      <c r="AJ10" s="148"/>
      <c r="AK10" s="148"/>
      <c r="AL10" s="148"/>
      <c r="AM10" s="148"/>
      <c r="AN10" s="148"/>
      <c r="AO10" s="148"/>
      <c r="AP10" s="148"/>
    </row>
    <row r="11" spans="1:42" ht="15" customHeight="1" x14ac:dyDescent="0.25">
      <c r="B11" s="149"/>
      <c r="I11" s="150" t="s">
        <v>4</v>
      </c>
      <c r="J11" s="154" t="s">
        <v>148</v>
      </c>
      <c r="K11" s="155" t="s">
        <v>3</v>
      </c>
      <c r="L11" s="150" t="s">
        <v>7</v>
      </c>
      <c r="M11" s="154" t="s">
        <v>170</v>
      </c>
      <c r="N11" s="155" t="s">
        <v>171</v>
      </c>
      <c r="P11" s="148"/>
      <c r="Q11" s="161"/>
      <c r="R11" s="161"/>
      <c r="S11" s="161"/>
      <c r="T11" s="161"/>
      <c r="U11" s="161"/>
      <c r="V11" s="161"/>
      <c r="W11" s="148"/>
      <c r="X11" s="148"/>
      <c r="Y11" s="148"/>
      <c r="Z11" s="148"/>
      <c r="AA11" s="148"/>
      <c r="AB11" s="148"/>
      <c r="AC11" s="148"/>
      <c r="AD11" s="148"/>
      <c r="AE11" s="148"/>
      <c r="AF11" s="148"/>
      <c r="AG11" s="148"/>
      <c r="AH11" s="148"/>
      <c r="AI11" s="148"/>
      <c r="AJ11" s="148"/>
      <c r="AK11" s="148"/>
      <c r="AL11" s="148"/>
      <c r="AM11" s="148"/>
      <c r="AN11" s="148"/>
      <c r="AO11" s="148"/>
      <c r="AP11" s="148"/>
    </row>
    <row r="12" spans="1:42" s="164" customFormat="1" ht="15" customHeight="1" thickBot="1" x14ac:dyDescent="0.3">
      <c r="I12" s="156">
        <v>4</v>
      </c>
      <c r="J12" s="157" t="str">
        <f>VLOOKUP(I12,'Back-End'!$A$143:$C$163,2,FALSE)</f>
        <v>A1   (594.0 x 841.0)</v>
      </c>
      <c r="K12" s="158">
        <f>VLOOKUP(I12,'Back-End'!$A$143:$C$1166,3,FALSE)</f>
        <v>0</v>
      </c>
      <c r="L12" s="156">
        <f>I12+K12</f>
        <v>4</v>
      </c>
      <c r="M12" s="159">
        <f>VLOOKUP($L12,'Back-End'!$H$144:$I$164,2,FALSE)</f>
        <v>594</v>
      </c>
      <c r="N12" s="159">
        <f>VLOOKUP($L12,'Back-End'!$J$144:$K$164,2,FALSE)</f>
        <v>841</v>
      </c>
      <c r="P12" s="165"/>
      <c r="Q12" s="166"/>
      <c r="R12" s="166"/>
      <c r="S12" s="166"/>
      <c r="T12" s="166"/>
      <c r="U12" s="167"/>
      <c r="V12" s="167"/>
      <c r="W12" s="165"/>
      <c r="X12" s="165"/>
      <c r="Y12" s="165"/>
      <c r="Z12" s="165"/>
      <c r="AA12" s="165"/>
      <c r="AB12" s="165"/>
      <c r="AC12" s="165"/>
      <c r="AD12" s="165"/>
      <c r="AE12" s="165"/>
      <c r="AF12" s="165"/>
      <c r="AG12" s="165"/>
      <c r="AH12" s="165"/>
      <c r="AI12" s="165"/>
      <c r="AJ12" s="165"/>
      <c r="AK12" s="165"/>
      <c r="AL12" s="165"/>
      <c r="AM12" s="165"/>
      <c r="AN12" s="165"/>
      <c r="AO12" s="165"/>
      <c r="AP12" s="165"/>
    </row>
    <row r="13" spans="1:42" ht="15" customHeight="1" thickBot="1" x14ac:dyDescent="0.3">
      <c r="B13" s="147" t="s">
        <v>72</v>
      </c>
      <c r="C13" s="147" t="s">
        <v>73</v>
      </c>
      <c r="D13" s="147" t="s">
        <v>190</v>
      </c>
      <c r="I13" s="150"/>
      <c r="J13" s="151" t="s">
        <v>6</v>
      </c>
      <c r="K13" s="152"/>
      <c r="L13" s="150"/>
      <c r="M13" s="153" t="s">
        <v>25</v>
      </c>
      <c r="N13" s="153"/>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row>
    <row r="14" spans="1:42" ht="15" customHeight="1" x14ac:dyDescent="0.25">
      <c r="B14" s="168"/>
      <c r="I14" s="150" t="s">
        <v>4</v>
      </c>
      <c r="J14" s="154" t="s">
        <v>147</v>
      </c>
      <c r="K14" s="155" t="s">
        <v>3</v>
      </c>
      <c r="L14" s="150" t="s">
        <v>7</v>
      </c>
      <c r="M14" s="154" t="s">
        <v>172</v>
      </c>
      <c r="N14" s="155"/>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row>
    <row r="15" spans="1:42" ht="15" customHeight="1" thickBot="1" x14ac:dyDescent="0.3">
      <c r="B15" s="130" t="s">
        <v>24</v>
      </c>
      <c r="C15" s="145"/>
      <c r="I15" s="156">
        <v>9</v>
      </c>
      <c r="J15" s="157" t="str">
        <f>VLOOKUP(I15,'Back-End'!$D$119:$F$127,2,FALSE)</f>
        <v>150 metres</v>
      </c>
      <c r="K15" s="158">
        <f>VLOOKUP(I15,'Back-End'!$D$119:$F$127,3,FALSE)</f>
        <v>9</v>
      </c>
      <c r="L15" s="156">
        <f>I15+K15</f>
        <v>18</v>
      </c>
      <c r="M15" s="159">
        <f>VLOOKUP($L15,'Back-End'!$J$120:$K$127,2,FALSE)</f>
        <v>150</v>
      </c>
      <c r="N15" s="160"/>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row>
    <row r="16" spans="1:42" ht="15" customHeight="1" x14ac:dyDescent="0.25">
      <c r="B16" s="130" t="s">
        <v>17</v>
      </c>
      <c r="C16" s="145"/>
      <c r="D16" s="144"/>
      <c r="E16" s="144"/>
      <c r="F16" s="144"/>
      <c r="J16" s="144"/>
      <c r="K16" s="144"/>
      <c r="L16" s="144"/>
      <c r="M16" s="144"/>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row>
    <row r="17" spans="1:42" s="146" customFormat="1" ht="15" customHeight="1" thickBot="1" x14ac:dyDescent="0.3">
      <c r="A17" s="144"/>
      <c r="B17" s="131" t="s">
        <v>29</v>
      </c>
      <c r="C17" s="131"/>
      <c r="D17" s="144"/>
      <c r="E17" s="144"/>
      <c r="F17" s="144"/>
      <c r="I17" s="150"/>
      <c r="J17" s="151" t="s">
        <v>6</v>
      </c>
      <c r="K17" s="152"/>
      <c r="L17" s="143"/>
      <c r="M17" s="143"/>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row>
    <row r="18" spans="1:42" ht="15" customHeight="1" x14ac:dyDescent="0.25">
      <c r="B18" s="130" t="s">
        <v>111</v>
      </c>
      <c r="C18" s="135">
        <v>0</v>
      </c>
      <c r="D18" s="144"/>
      <c r="E18" s="131" t="s">
        <v>26</v>
      </c>
      <c r="F18" s="136"/>
      <c r="G18" s="131"/>
      <c r="I18" s="176" t="s">
        <v>4</v>
      </c>
      <c r="J18" s="177" t="s">
        <v>5</v>
      </c>
      <c r="K18" s="178" t="s">
        <v>3</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row>
    <row r="19" spans="1:42" ht="15" customHeight="1" thickBot="1" x14ac:dyDescent="0.3">
      <c r="B19" s="130" t="s">
        <v>112</v>
      </c>
      <c r="C19" s="135">
        <v>0</v>
      </c>
      <c r="D19" s="144"/>
      <c r="E19" s="137"/>
      <c r="F19" s="132" t="s">
        <v>19</v>
      </c>
      <c r="G19" s="132" t="s">
        <v>20</v>
      </c>
      <c r="I19" s="179">
        <v>2</v>
      </c>
      <c r="J19" s="180" t="str">
        <f>VLOOKUP(I19,'Back-End'!$A$66:$C$68,2,FALSE)</f>
        <v>Color CAD File</v>
      </c>
      <c r="K19" s="181">
        <f>VLOOKUP(I19,'Back-End'!$A$66:$C$68,3,FALSE)</f>
        <v>20</v>
      </c>
      <c r="L19" s="146"/>
      <c r="M19" s="146"/>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row>
    <row r="20" spans="1:42" ht="15" customHeight="1" thickBot="1" x14ac:dyDescent="0.3">
      <c r="B20" s="130" t="s">
        <v>18</v>
      </c>
      <c r="C20" s="209">
        <v>50</v>
      </c>
      <c r="D20" s="144"/>
      <c r="E20" s="210" t="s">
        <v>21</v>
      </c>
      <c r="F20" s="211">
        <f>IFERROR((K26*((M12/1000*N12/1000))*(C22/130)),"-")</f>
        <v>0.40959585276923077</v>
      </c>
      <c r="G20" s="211">
        <f>IFERROR((K26*((M12/1000*N12/1000))*(C23/300)),"-")</f>
        <v>0.30233008080000001</v>
      </c>
      <c r="I20" s="176"/>
      <c r="J20" s="182" t="s">
        <v>6</v>
      </c>
      <c r="K20" s="182"/>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row>
    <row r="21" spans="1:42" s="146" customFormat="1" ht="15" customHeight="1" x14ac:dyDescent="0.25">
      <c r="B21" s="131" t="s">
        <v>28</v>
      </c>
      <c r="C21" s="138"/>
      <c r="D21" s="144"/>
      <c r="E21" s="210" t="s">
        <v>22</v>
      </c>
      <c r="F21" s="211">
        <f>IFERROR(((M12/1000*N12/1000))*(F24),"-")</f>
        <v>0.18210629921259844</v>
      </c>
      <c r="G21" s="211">
        <f>IFERROR(((M12/1000*N12/1000))*(F24),"-")</f>
        <v>0.18210629921259844</v>
      </c>
      <c r="I21" s="176" t="s">
        <v>4</v>
      </c>
      <c r="J21" s="177" t="s">
        <v>5</v>
      </c>
      <c r="K21" s="178" t="s">
        <v>3</v>
      </c>
      <c r="L21" s="143"/>
      <c r="M21" s="143"/>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row>
    <row r="22" spans="1:42" ht="15" customHeight="1" thickBot="1" x14ac:dyDescent="0.3">
      <c r="B22" s="130" t="s">
        <v>15</v>
      </c>
      <c r="C22" s="209">
        <v>209</v>
      </c>
      <c r="D22" s="144"/>
      <c r="E22" s="215" t="s">
        <v>23</v>
      </c>
      <c r="F22" s="216">
        <f>IFERROR(F20+F21,"-")</f>
        <v>0.59170215198182918</v>
      </c>
      <c r="G22" s="216">
        <f>IFERROR(G20+G21,"-")</f>
        <v>0.48443638001259848</v>
      </c>
      <c r="I22" s="176">
        <v>2</v>
      </c>
      <c r="J22" s="183" t="str">
        <f>VLOOKUP($I22,'Back-End'!$D$66:$F$71,2,FALSE)</f>
        <v>Universal Bond (Standard)</v>
      </c>
      <c r="K22" s="184">
        <f>VLOOKUP($I22,'Back-End'!$D$66:$F$71,3,FALSE)</f>
        <v>2</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row>
    <row r="23" spans="1:42" ht="15" customHeight="1" x14ac:dyDescent="0.25">
      <c r="B23" s="130" t="s">
        <v>16</v>
      </c>
      <c r="C23" s="209">
        <v>356</v>
      </c>
      <c r="D23" s="144"/>
      <c r="E23" s="210" t="s">
        <v>113</v>
      </c>
      <c r="F23" s="212">
        <f>IFERROR(F20/((M12/1000*N12/1000)),"-")</f>
        <v>0.81992307692307698</v>
      </c>
      <c r="G23" s="212">
        <f>IFERROR(G20/((M12/1000*N12/1000)),"-")</f>
        <v>0.60520000000000007</v>
      </c>
      <c r="I23" s="179"/>
      <c r="J23" s="179"/>
      <c r="K23" s="179"/>
      <c r="L23" s="146"/>
      <c r="M23" s="146"/>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row>
    <row r="24" spans="1:42" s="146" customFormat="1" ht="15" customHeight="1" thickBot="1" x14ac:dyDescent="0.3">
      <c r="B24" s="131" t="s">
        <v>27</v>
      </c>
      <c r="C24" s="132"/>
      <c r="D24" s="139"/>
      <c r="E24" s="213" t="s">
        <v>114</v>
      </c>
      <c r="F24" s="211">
        <f>IFERROR(C20/((M15*M9/1000)),"-")</f>
        <v>0.36453776611256927</v>
      </c>
      <c r="G24" s="211">
        <f>IFERROR(C20/((M15*M9/1000)),"-")</f>
        <v>0.36453776611256927</v>
      </c>
      <c r="H24" s="144"/>
      <c r="I24" s="176"/>
      <c r="J24" s="185" t="s">
        <v>25</v>
      </c>
      <c r="K24" s="185"/>
      <c r="L24" s="143"/>
      <c r="M24" s="143"/>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row>
    <row r="25" spans="1:42" ht="15" customHeight="1" x14ac:dyDescent="0.25">
      <c r="D25" s="144"/>
      <c r="E25" s="215" t="s">
        <v>115</v>
      </c>
      <c r="F25" s="217">
        <f>IFERROR(F23+F24,"-")</f>
        <v>1.1844608430356462</v>
      </c>
      <c r="G25" s="217">
        <f>IFERROR(G23+G24,"-")</f>
        <v>0.96973776611256934</v>
      </c>
      <c r="H25" s="144"/>
      <c r="I25" s="176" t="s">
        <v>7</v>
      </c>
      <c r="J25" s="177" t="s">
        <v>13</v>
      </c>
      <c r="K25" s="178" t="s">
        <v>14</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row>
    <row r="26" spans="1:42" ht="15" customHeight="1" thickBot="1" x14ac:dyDescent="0.3">
      <c r="B26" s="140" t="s">
        <v>180</v>
      </c>
      <c r="C26" s="141" t="s">
        <v>181</v>
      </c>
      <c r="D26" s="144"/>
      <c r="E26" s="210" t="s">
        <v>199</v>
      </c>
      <c r="F26" s="214">
        <f>IFERROR((330*12)/(K26)/(M12/1000*N12/1000),"-")</f>
        <v>15543.276367225448</v>
      </c>
      <c r="G26" s="214">
        <f>IFERROR((700*12)/(K26)/(M12/1000*N12/1000),"-")</f>
        <v>32970.586233508526</v>
      </c>
      <c r="H26" s="144"/>
      <c r="I26" s="179">
        <f>K19+K22</f>
        <v>22</v>
      </c>
      <c r="J26" s="180" t="str">
        <f>VLOOKUP($I26,'Back-End'!$H$66:$K$81,2,FALSE)</f>
        <v>Color CAD File- Univ. Bond (Std)</v>
      </c>
      <c r="K26" s="181">
        <f>VLOOKUP($I26,'Back-End'!$H$66:$K$81,3,FALSE)</f>
        <v>0.51</v>
      </c>
      <c r="L26" s="146"/>
      <c r="M26" s="146"/>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row>
    <row r="27" spans="1:42" ht="23.25" x14ac:dyDescent="0.25">
      <c r="B27" s="142">
        <f>IFERROR(M12,"-")</f>
        <v>594</v>
      </c>
      <c r="C27" s="142">
        <f>IFERROR(N12,"-")</f>
        <v>841</v>
      </c>
      <c r="D27" s="144"/>
      <c r="E27" s="144"/>
      <c r="F27" s="144"/>
      <c r="G27" s="144"/>
      <c r="H27" s="144"/>
      <c r="I27" s="144"/>
      <c r="J27" s="144"/>
      <c r="K27" s="144"/>
      <c r="L27" s="144"/>
      <c r="M27" s="144"/>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row>
    <row r="28" spans="1:42" ht="23.25" x14ac:dyDescent="0.25">
      <c r="E28" s="144"/>
      <c r="F28" s="144"/>
      <c r="G28" s="144"/>
      <c r="H28" s="144"/>
      <c r="I28" s="144"/>
      <c r="J28" s="144"/>
      <c r="K28" s="144"/>
      <c r="L28" s="144"/>
      <c r="M28" s="144"/>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row>
    <row r="29" spans="1:42" ht="21.75" customHeight="1" x14ac:dyDescent="0.25">
      <c r="C29" s="235"/>
      <c r="D29" s="235"/>
      <c r="E29" s="235"/>
      <c r="F29" s="235"/>
      <c r="G29" s="145"/>
      <c r="H29" s="145"/>
      <c r="I29" s="145"/>
      <c r="J29" s="145"/>
      <c r="K29" s="145"/>
      <c r="L29" s="145"/>
      <c r="M29" s="145"/>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row>
    <row r="30" spans="1:42" ht="9.75" customHeight="1" x14ac:dyDescent="0.25">
      <c r="C30" s="235"/>
      <c r="D30" s="235"/>
      <c r="E30" s="235"/>
      <c r="F30" s="235"/>
      <c r="G30" s="145"/>
      <c r="H30" s="145"/>
      <c r="I30" s="145"/>
      <c r="J30" s="145"/>
      <c r="K30" s="145"/>
      <c r="L30" s="145"/>
      <c r="M30" s="145"/>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row>
    <row r="31" spans="1:42" ht="23.25" x14ac:dyDescent="0.25">
      <c r="A31" s="148"/>
      <c r="B31" s="148"/>
      <c r="C31" s="148"/>
      <c r="D31" s="148"/>
      <c r="E31" s="172"/>
      <c r="F31" s="172"/>
      <c r="G31" s="172"/>
      <c r="H31" s="172"/>
      <c r="I31" s="173"/>
      <c r="J31" s="173"/>
      <c r="K31" s="173"/>
      <c r="L31" s="173"/>
      <c r="M31" s="173"/>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row>
    <row r="32" spans="1:42" ht="23.25" x14ac:dyDescent="0.25">
      <c r="A32" s="148"/>
      <c r="B32" s="148"/>
      <c r="C32" s="148"/>
      <c r="D32" s="148"/>
      <c r="E32" s="172"/>
      <c r="F32" s="172"/>
      <c r="G32" s="172"/>
      <c r="H32" s="172"/>
      <c r="I32" s="172"/>
      <c r="J32" s="172"/>
      <c r="K32" s="172"/>
      <c r="L32" s="172"/>
      <c r="M32" s="172"/>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row>
    <row r="33" spans="1:42" ht="23.25" x14ac:dyDescent="0.25">
      <c r="A33" s="148"/>
      <c r="B33" s="148"/>
      <c r="C33" s="148"/>
      <c r="D33" s="148"/>
      <c r="E33" s="172"/>
      <c r="F33" s="172"/>
      <c r="G33" s="172"/>
      <c r="H33" s="172"/>
      <c r="I33" s="172"/>
      <c r="J33" s="172"/>
      <c r="K33" s="172"/>
      <c r="L33" s="172"/>
      <c r="M33" s="172"/>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row>
    <row r="34" spans="1:42" ht="23.25" x14ac:dyDescent="0.25">
      <c r="A34" s="148"/>
      <c r="B34" s="148"/>
      <c r="C34" s="148"/>
      <c r="D34" s="148"/>
      <c r="E34" s="172"/>
      <c r="F34" s="172"/>
      <c r="G34" s="172"/>
      <c r="H34" s="172"/>
      <c r="I34" s="172"/>
      <c r="J34" s="172"/>
      <c r="K34" s="172"/>
      <c r="L34" s="172"/>
      <c r="M34" s="172"/>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row>
    <row r="35" spans="1:42" ht="23.25" x14ac:dyDescent="0.25">
      <c r="A35" s="148"/>
      <c r="B35" s="148"/>
      <c r="C35" s="148"/>
      <c r="D35" s="148"/>
      <c r="E35" s="172"/>
      <c r="F35" s="172"/>
      <c r="G35" s="172"/>
      <c r="H35" s="172"/>
      <c r="I35" s="172"/>
      <c r="J35" s="172"/>
      <c r="K35" s="172"/>
      <c r="L35" s="172"/>
      <c r="M35" s="172"/>
      <c r="N35" s="148"/>
      <c r="O35" s="148"/>
      <c r="P35" s="148"/>
      <c r="Q35" s="148"/>
      <c r="R35" s="148"/>
      <c r="S35" s="148"/>
      <c r="T35" s="148"/>
      <c r="U35" s="148"/>
      <c r="V35" s="148"/>
      <c r="W35" s="148"/>
      <c r="X35" s="148"/>
      <c r="Y35" s="148"/>
      <c r="Z35" s="148"/>
      <c r="AA35" s="148"/>
      <c r="AB35" s="148"/>
    </row>
    <row r="36" spans="1:42" ht="23.25" x14ac:dyDescent="0.25">
      <c r="A36" s="148"/>
      <c r="B36" s="148"/>
      <c r="C36" s="148"/>
      <c r="D36" s="148"/>
      <c r="E36" s="172"/>
      <c r="F36" s="172"/>
      <c r="G36" s="172"/>
      <c r="H36" s="172"/>
      <c r="I36" s="172"/>
      <c r="J36" s="172"/>
      <c r="K36" s="172"/>
      <c r="L36" s="172"/>
      <c r="M36" s="172"/>
      <c r="N36" s="148"/>
      <c r="O36" s="148"/>
      <c r="P36" s="148"/>
      <c r="Q36" s="148"/>
      <c r="R36" s="148"/>
      <c r="S36" s="148"/>
      <c r="T36" s="148"/>
      <c r="U36" s="148"/>
      <c r="V36" s="148"/>
      <c r="W36" s="148"/>
      <c r="X36" s="148"/>
      <c r="Y36" s="148"/>
      <c r="Z36" s="148"/>
      <c r="AA36" s="148"/>
      <c r="AB36" s="148"/>
    </row>
    <row r="37" spans="1:42" ht="23.25" x14ac:dyDescent="0.25">
      <c r="A37" s="148"/>
      <c r="B37" s="148"/>
      <c r="C37" s="148"/>
      <c r="D37" s="148"/>
      <c r="E37" s="174"/>
      <c r="F37" s="174"/>
      <c r="G37" s="174"/>
      <c r="H37" s="174"/>
      <c r="I37" s="174"/>
      <c r="J37" s="174"/>
      <c r="K37" s="174"/>
      <c r="L37" s="174"/>
      <c r="M37" s="174"/>
      <c r="N37" s="148"/>
      <c r="O37" s="148"/>
      <c r="P37" s="148"/>
      <c r="Q37" s="148"/>
      <c r="R37" s="148"/>
      <c r="S37" s="148"/>
      <c r="T37" s="148"/>
      <c r="U37" s="148"/>
      <c r="V37" s="148"/>
      <c r="W37" s="148"/>
      <c r="X37" s="148"/>
      <c r="Y37" s="148"/>
      <c r="Z37" s="148"/>
      <c r="AA37" s="148"/>
      <c r="AB37" s="148"/>
    </row>
    <row r="38" spans="1:42" x14ac:dyDescent="0.2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row>
    <row r="39" spans="1:42" x14ac:dyDescent="0.25">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row>
    <row r="40" spans="1:42" x14ac:dyDescent="0.25">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row>
    <row r="41" spans="1:42" x14ac:dyDescent="0.25">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row>
    <row r="42" spans="1:42" x14ac:dyDescent="0.25">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row>
    <row r="43" spans="1:42" x14ac:dyDescent="0.2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48"/>
      <c r="AA43" s="148"/>
      <c r="AB43" s="148"/>
    </row>
    <row r="44" spans="1:42" x14ac:dyDescent="0.2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row>
    <row r="45" spans="1:42" x14ac:dyDescent="0.2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row>
    <row r="46" spans="1:42" x14ac:dyDescent="0.2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row>
    <row r="47" spans="1:42" x14ac:dyDescent="0.2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row>
    <row r="48" spans="1:42" x14ac:dyDescent="0.2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row>
    <row r="49" spans="1:25" x14ac:dyDescent="0.2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row>
    <row r="50" spans="1:25" x14ac:dyDescent="0.2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row>
    <row r="51" spans="1:25" x14ac:dyDescent="0.25">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row>
    <row r="52" spans="1:25" x14ac:dyDescent="0.25">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row>
    <row r="53" spans="1:25" x14ac:dyDescent="0.25">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row>
    <row r="54" spans="1:25" x14ac:dyDescent="0.25">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row>
    <row r="55" spans="1:25" x14ac:dyDescent="0.25">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row>
    <row r="56" spans="1:25" x14ac:dyDescent="0.25">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row>
    <row r="57" spans="1:25" x14ac:dyDescent="0.2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row>
    <row r="58" spans="1:25" x14ac:dyDescent="0.25">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row>
  </sheetData>
  <sheetProtection algorithmName="SHA-512" hashValue="VzYfq4iAbXjbSd4+duTe79wMf7C2CjrCaNaC+sKFyu6Bj05CiaF5bb4buenh7rX3HMT/EfHN6R1YMsI3zKBugw==" saltValue="9++scU4loFvgZ5/8bd8nPA==" spinCount="100000" sheet="1" objects="1" selectLockedCells="1"/>
  <mergeCells count="1">
    <mergeCell ref="C29:F30"/>
  </mergeCells>
  <phoneticPr fontId="5" type="noConversion"/>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16389" r:id="rId5" name="Drop Down 5">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mc:AlternateContent xmlns:mc="http://schemas.openxmlformats.org/markup-compatibility/2006">
          <mc:Choice Requires="x14">
            <control shapeId="16390" r:id="rId6" name="Drop Down 6">
              <controlPr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16391" r:id="rId7" name="Drop Down 7">
              <controlPr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16408" r:id="rId8" name="Drop Down 24">
              <controlPr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16423" r:id="rId9" name="Drop Down 39">
              <controlPr defaultSize="0" autoLine="0" autoPict="0">
                <anchor moveWithCells="1">
                  <from>
                    <xdr:col>2</xdr:col>
                    <xdr:colOff>0</xdr:colOff>
                    <xdr:row>15</xdr:row>
                    <xdr:rowOff>0</xdr:rowOff>
                  </from>
                  <to>
                    <xdr:col>3</xdr:col>
                    <xdr:colOff>533400</xdr:colOff>
                    <xdr:row>16</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54"/>
    <pageSetUpPr autoPageBreaks="0" fitToPage="1"/>
  </sheetPr>
  <dimension ref="A1:AP58"/>
  <sheetViews>
    <sheetView showGridLines="0" zoomScale="110" zoomScaleNormal="110" workbookViewId="0">
      <selection activeCell="C20" sqref="C20"/>
    </sheetView>
  </sheetViews>
  <sheetFormatPr defaultColWidth="9.140625" defaultRowHeight="21.75" x14ac:dyDescent="0.25"/>
  <cols>
    <col min="1" max="1" width="9.140625" style="143"/>
    <col min="2" max="2" width="25.28515625" style="143" customWidth="1"/>
    <col min="3" max="3" width="22.5703125" style="143" customWidth="1"/>
    <col min="4" max="4" width="21" style="143" customWidth="1"/>
    <col min="5" max="5" width="17.5703125" style="143" customWidth="1"/>
    <col min="6" max="7" width="16.85546875" style="143" customWidth="1"/>
    <col min="8" max="8" width="10.7109375" style="143" customWidth="1"/>
    <col min="9" max="9" width="13.7109375" style="143" hidden="1" customWidth="1"/>
    <col min="10" max="10" width="33.7109375" style="143" hidden="1" customWidth="1"/>
    <col min="11" max="11" width="10.7109375" style="143" hidden="1" customWidth="1"/>
    <col min="12" max="12" width="13.7109375" style="143" hidden="1" customWidth="1"/>
    <col min="13" max="13" width="33.7109375" style="143" hidden="1" customWidth="1"/>
    <col min="14" max="14" width="10.7109375" style="143" hidden="1" customWidth="1"/>
    <col min="15" max="15" width="9.140625" style="143" hidden="1" customWidth="1"/>
    <col min="16" max="16" width="9.42578125" style="143" customWidth="1"/>
    <col min="17" max="17" width="4.85546875" style="143" customWidth="1"/>
    <col min="18" max="18" width="13.85546875" style="143" customWidth="1"/>
    <col min="19" max="19" width="6.140625" style="143" customWidth="1"/>
    <col min="20" max="20" width="13.7109375" style="143" customWidth="1"/>
    <col min="21" max="21" width="33.7109375" style="143" customWidth="1"/>
    <col min="22" max="22" width="7.5703125" style="143" customWidth="1"/>
    <col min="23" max="24" width="9.140625" style="143"/>
    <col min="25" max="25" width="5.7109375" style="143" customWidth="1"/>
    <col min="26" max="16384" width="9.140625" style="143"/>
  </cols>
  <sheetData>
    <row r="1" spans="1:42" x14ac:dyDescent="0.25">
      <c r="A1" s="237"/>
      <c r="B1" s="238"/>
      <c r="C1" s="238"/>
      <c r="D1" s="238"/>
      <c r="E1" s="238"/>
      <c r="F1" s="95"/>
      <c r="G1" s="95"/>
      <c r="H1" s="95"/>
      <c r="I1" s="95"/>
      <c r="J1" s="95"/>
      <c r="K1" s="95"/>
      <c r="L1" s="95"/>
      <c r="M1" s="95"/>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row>
    <row r="2" spans="1:42" x14ac:dyDescent="0.25">
      <c r="A2" s="238"/>
      <c r="B2" s="238"/>
      <c r="C2" s="238"/>
      <c r="D2" s="238"/>
      <c r="E2" s="238"/>
      <c r="F2" s="95"/>
      <c r="G2" s="95"/>
      <c r="H2" s="95"/>
      <c r="I2" s="95"/>
      <c r="J2" s="95"/>
      <c r="K2" s="95"/>
      <c r="L2" s="95"/>
      <c r="M2" s="95"/>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row>
    <row r="3" spans="1:42" ht="13.5" customHeight="1" x14ac:dyDescent="0.25">
      <c r="A3" s="239"/>
      <c r="B3" s="239"/>
      <c r="C3" s="239"/>
      <c r="D3" s="239"/>
      <c r="E3" s="239"/>
      <c r="F3" s="97"/>
      <c r="G3" s="97"/>
      <c r="H3" s="97"/>
      <c r="I3" s="97"/>
      <c r="J3" s="97"/>
      <c r="K3" s="97"/>
      <c r="L3" s="97"/>
      <c r="M3" s="97"/>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row>
    <row r="4" spans="1:42" ht="15" customHeight="1" x14ac:dyDescent="0.25">
      <c r="A4" s="97"/>
      <c r="B4" s="97"/>
      <c r="C4" s="97"/>
      <c r="D4" s="97"/>
      <c r="E4" s="97"/>
      <c r="F4" s="97"/>
      <c r="G4" s="97"/>
      <c r="H4" s="97"/>
      <c r="I4" s="97"/>
      <c r="J4" s="97"/>
      <c r="K4" s="97"/>
      <c r="L4" s="97"/>
      <c r="M4" s="97"/>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row>
    <row r="5" spans="1:42" ht="15" customHeight="1" x14ac:dyDescent="0.25">
      <c r="B5" s="186"/>
      <c r="C5" s="187"/>
      <c r="D5" s="188"/>
      <c r="E5" s="186"/>
      <c r="F5" s="186"/>
      <c r="G5" s="186"/>
      <c r="H5" s="186"/>
      <c r="I5" s="186"/>
      <c r="J5" s="186"/>
      <c r="K5" s="186"/>
      <c r="L5" s="186"/>
      <c r="M5" s="186"/>
      <c r="N5" s="189"/>
      <c r="O5" s="189"/>
      <c r="P5" s="190"/>
      <c r="Q5" s="190"/>
      <c r="R5" s="192"/>
      <c r="S5" s="192"/>
      <c r="T5" s="192"/>
      <c r="U5" s="148"/>
      <c r="V5" s="148"/>
      <c r="W5" s="148"/>
      <c r="X5" s="148"/>
      <c r="Y5" s="148"/>
      <c r="Z5" s="148"/>
      <c r="AA5" s="148"/>
      <c r="AB5" s="148"/>
      <c r="AC5" s="148"/>
      <c r="AD5" s="148"/>
      <c r="AE5" s="148"/>
      <c r="AF5" s="148"/>
      <c r="AG5" s="148"/>
      <c r="AH5" s="148"/>
      <c r="AI5" s="148"/>
      <c r="AJ5" s="148"/>
      <c r="AK5" s="148"/>
      <c r="AL5" s="148"/>
      <c r="AM5" s="148"/>
      <c r="AN5" s="148"/>
      <c r="AO5" s="148"/>
      <c r="AP5" s="148"/>
    </row>
    <row r="6" spans="1:42" ht="15" customHeight="1" x14ac:dyDescent="0.25">
      <c r="B6" s="149"/>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row>
    <row r="7" spans="1:42" ht="15" customHeight="1" thickBot="1" x14ac:dyDescent="0.3">
      <c r="B7" s="139" t="s">
        <v>117</v>
      </c>
      <c r="C7" s="139" t="s">
        <v>188</v>
      </c>
      <c r="D7" s="139" t="s">
        <v>189</v>
      </c>
      <c r="J7" s="193" t="s">
        <v>6</v>
      </c>
      <c r="K7" s="194"/>
      <c r="M7" s="195" t="s">
        <v>25</v>
      </c>
      <c r="N7" s="195"/>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row>
    <row r="8" spans="1:42" ht="15" customHeight="1" x14ac:dyDescent="0.25">
      <c r="B8" s="149"/>
      <c r="F8"/>
      <c r="I8" s="143" t="s">
        <v>4</v>
      </c>
      <c r="J8" s="196" t="s">
        <v>120</v>
      </c>
      <c r="K8" s="197" t="s">
        <v>3</v>
      </c>
      <c r="L8" s="143" t="s">
        <v>7</v>
      </c>
      <c r="M8" s="196" t="s">
        <v>170</v>
      </c>
      <c r="N8" s="197"/>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row>
    <row r="9" spans="1:42" ht="15" customHeight="1" thickBot="1" x14ac:dyDescent="0.3">
      <c r="B9" s="149"/>
      <c r="I9" s="198">
        <v>10</v>
      </c>
      <c r="J9" s="199" t="str">
        <f>VLOOKUP(I9,'Back-End'!$A$119:$C$138,2,FALSE)</f>
        <v>609.6mm (24")</v>
      </c>
      <c r="K9" s="200">
        <f>VLOOKUP(I9,'Back-End'!$A$119:$C$138,3,FALSE)</f>
        <v>0</v>
      </c>
      <c r="L9" s="146">
        <f>I9+K9</f>
        <v>10</v>
      </c>
      <c r="M9" s="201">
        <f>VLOOKUP($L9,'Back-End'!$H$119:$I$138,2,FALSE)</f>
        <v>609.6</v>
      </c>
      <c r="N9" s="202"/>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row>
    <row r="10" spans="1:42" ht="15" customHeight="1" thickBot="1" x14ac:dyDescent="0.3">
      <c r="B10" s="149"/>
      <c r="J10" s="193" t="s">
        <v>6</v>
      </c>
      <c r="K10" s="194"/>
      <c r="M10" s="195" t="s">
        <v>25</v>
      </c>
      <c r="N10" s="195"/>
      <c r="P10" s="148"/>
      <c r="Q10" s="148"/>
      <c r="R10" s="203"/>
      <c r="S10" s="204"/>
      <c r="T10" s="148"/>
      <c r="U10" s="203"/>
      <c r="V10" s="203"/>
      <c r="W10" s="148"/>
      <c r="X10" s="148"/>
      <c r="Y10" s="148"/>
      <c r="Z10" s="148"/>
      <c r="AA10" s="148"/>
      <c r="AB10" s="148"/>
      <c r="AC10" s="148"/>
      <c r="AD10" s="148"/>
      <c r="AE10" s="148"/>
      <c r="AF10" s="148"/>
      <c r="AG10" s="148"/>
      <c r="AH10" s="148"/>
      <c r="AI10" s="148"/>
      <c r="AJ10" s="148"/>
      <c r="AK10" s="148"/>
      <c r="AL10" s="148"/>
      <c r="AM10" s="148"/>
      <c r="AN10" s="148"/>
      <c r="AO10" s="148"/>
      <c r="AP10" s="148"/>
    </row>
    <row r="11" spans="1:42" ht="15" customHeight="1" x14ac:dyDescent="0.25">
      <c r="B11" s="149"/>
      <c r="I11" s="143" t="s">
        <v>4</v>
      </c>
      <c r="J11" s="196" t="s">
        <v>148</v>
      </c>
      <c r="K11" s="197" t="s">
        <v>3</v>
      </c>
      <c r="L11" s="143" t="s">
        <v>7</v>
      </c>
      <c r="M11" s="196" t="s">
        <v>170</v>
      </c>
      <c r="N11" s="197" t="s">
        <v>171</v>
      </c>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row>
    <row r="12" spans="1:42" s="164" customFormat="1" ht="15" customHeight="1" thickBot="1" x14ac:dyDescent="0.3">
      <c r="I12" s="198">
        <v>4</v>
      </c>
      <c r="J12" s="199" t="str">
        <f>VLOOKUP(I12,'Back-End'!$A$143:$C$163,2,FALSE)</f>
        <v>A1   (594.0 x 841.0)</v>
      </c>
      <c r="K12" s="200">
        <f>VLOOKUP(I12,'Back-End'!$A$143:$C$1166,3,FALSE)</f>
        <v>0</v>
      </c>
      <c r="L12" s="146">
        <f>I12+K12</f>
        <v>4</v>
      </c>
      <c r="M12" s="201">
        <f>VLOOKUP($L12,'Back-End'!$H$144:$I$164,2,FALSE)</f>
        <v>594</v>
      </c>
      <c r="N12" s="201">
        <f>VLOOKUP($L12,'Back-End'!$J$144:$K$164,2,FALSE)</f>
        <v>841</v>
      </c>
      <c r="P12" s="165"/>
      <c r="Q12" s="169"/>
      <c r="R12" s="169"/>
      <c r="S12" s="169"/>
      <c r="T12" s="169"/>
      <c r="U12" s="205"/>
      <c r="V12" s="205"/>
      <c r="W12" s="165"/>
      <c r="X12" s="165"/>
      <c r="Y12" s="165"/>
      <c r="Z12" s="165"/>
      <c r="AA12" s="165"/>
      <c r="AB12" s="165"/>
      <c r="AC12" s="165"/>
      <c r="AD12" s="165"/>
      <c r="AE12" s="165"/>
      <c r="AF12" s="165"/>
      <c r="AG12" s="165"/>
      <c r="AH12" s="165"/>
      <c r="AI12" s="165"/>
      <c r="AJ12" s="165"/>
      <c r="AK12" s="165"/>
      <c r="AL12" s="165"/>
      <c r="AM12" s="165"/>
      <c r="AN12" s="165"/>
      <c r="AO12" s="165"/>
      <c r="AP12" s="165"/>
    </row>
    <row r="13" spans="1:42" ht="15" customHeight="1" thickBot="1" x14ac:dyDescent="0.3">
      <c r="B13" s="147" t="s">
        <v>72</v>
      </c>
      <c r="C13" s="147" t="s">
        <v>73</v>
      </c>
      <c r="D13" s="147" t="s">
        <v>190</v>
      </c>
      <c r="J13" s="193" t="s">
        <v>6</v>
      </c>
      <c r="K13" s="194"/>
      <c r="M13" s="195" t="s">
        <v>25</v>
      </c>
      <c r="N13" s="195"/>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row>
    <row r="14" spans="1:42" ht="15" customHeight="1" x14ac:dyDescent="0.25">
      <c r="B14" s="168"/>
      <c r="I14" s="143" t="s">
        <v>4</v>
      </c>
      <c r="J14" s="196" t="s">
        <v>147</v>
      </c>
      <c r="K14" s="197" t="s">
        <v>3</v>
      </c>
      <c r="L14" s="143" t="s">
        <v>7</v>
      </c>
      <c r="M14" s="196" t="s">
        <v>172</v>
      </c>
      <c r="N14" s="197"/>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row>
    <row r="15" spans="1:42" ht="15" customHeight="1" thickBot="1" x14ac:dyDescent="0.3">
      <c r="B15" s="130" t="s">
        <v>24</v>
      </c>
      <c r="C15" s="145"/>
      <c r="I15" s="198">
        <v>7</v>
      </c>
      <c r="J15" s="199" t="str">
        <f>VLOOKUP(I15,'Back-End'!$D$119:$F$127,2,FALSE)</f>
        <v>50 metres</v>
      </c>
      <c r="K15" s="200">
        <f>VLOOKUP(I15,'Back-End'!$D$119:$F$127,3,FALSE)</f>
        <v>7</v>
      </c>
      <c r="L15" s="146">
        <f>I15+K15</f>
        <v>14</v>
      </c>
      <c r="M15" s="201">
        <f>VLOOKUP($L15,'Back-End'!$J$120:$K$127,2,FALSE)</f>
        <v>50</v>
      </c>
      <c r="N15" s="202"/>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row>
    <row r="16" spans="1:42" ht="15" customHeight="1" x14ac:dyDescent="0.25">
      <c r="B16" s="130" t="s">
        <v>17</v>
      </c>
      <c r="C16" s="145"/>
      <c r="D16" s="144"/>
      <c r="E16" s="144"/>
      <c r="F16" s="191"/>
      <c r="J16" s="144"/>
      <c r="K16" s="144"/>
      <c r="L16" s="144"/>
      <c r="M16" s="144"/>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row>
    <row r="17" spans="1:42" s="146" customFormat="1" ht="15" customHeight="1" thickBot="1" x14ac:dyDescent="0.3">
      <c r="A17" s="144"/>
      <c r="B17" s="131" t="s">
        <v>29</v>
      </c>
      <c r="C17" s="131"/>
      <c r="D17" s="144"/>
      <c r="E17" s="144"/>
      <c r="F17" s="144"/>
      <c r="I17" s="143"/>
      <c r="J17" s="193" t="s">
        <v>6</v>
      </c>
      <c r="K17" s="194"/>
      <c r="L17" s="143"/>
      <c r="M17" s="143"/>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row>
    <row r="18" spans="1:42" ht="15" customHeight="1" x14ac:dyDescent="0.25">
      <c r="B18" s="130" t="s">
        <v>111</v>
      </c>
      <c r="C18" s="135">
        <v>0</v>
      </c>
      <c r="D18" s="144"/>
      <c r="E18" s="131" t="s">
        <v>26</v>
      </c>
      <c r="F18" s="136"/>
      <c r="G18" s="131"/>
      <c r="I18" s="143" t="s">
        <v>4</v>
      </c>
      <c r="J18" s="196" t="s">
        <v>5</v>
      </c>
      <c r="K18" s="197" t="s">
        <v>3</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row>
    <row r="19" spans="1:42" ht="15" customHeight="1" thickBot="1" x14ac:dyDescent="0.3">
      <c r="B19" s="130" t="s">
        <v>112</v>
      </c>
      <c r="C19" s="135">
        <v>0</v>
      </c>
      <c r="D19" s="144"/>
      <c r="E19" s="137"/>
      <c r="F19" s="132" t="s">
        <v>206</v>
      </c>
      <c r="G19" s="132" t="s">
        <v>198</v>
      </c>
      <c r="I19" s="206">
        <v>1</v>
      </c>
      <c r="J19" s="207" t="str">
        <f>VLOOKUP(I19,'Back-End'!$A$85:$C$87,2,FALSE)</f>
        <v>Mono CAD File</v>
      </c>
      <c r="K19" s="208">
        <f>VLOOKUP(I19,'Back-End'!$A$85:$C$87,3,FALSE)</f>
        <v>10</v>
      </c>
      <c r="L19" s="146"/>
      <c r="M19" s="146"/>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row>
    <row r="20" spans="1:42" ht="15" customHeight="1" thickBot="1" x14ac:dyDescent="0.3">
      <c r="B20" s="130" t="s">
        <v>18</v>
      </c>
      <c r="C20" s="209">
        <v>20</v>
      </c>
      <c r="D20" s="144"/>
      <c r="E20" s="210" t="s">
        <v>21</v>
      </c>
      <c r="F20" s="211">
        <f>IFERROR((K26*((M12/1000*N12/1000))*(C22/160)),"-")</f>
        <v>0.10416216065062499</v>
      </c>
      <c r="G20" s="211">
        <f>IFERROR((K26*((M12/1000*N12/1000))*(C23/300)),"-")</f>
        <v>0.17834077799999998</v>
      </c>
      <c r="J20" s="193" t="s">
        <v>6</v>
      </c>
      <c r="K20" s="193"/>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row>
    <row r="21" spans="1:42" s="146" customFormat="1" ht="15" customHeight="1" x14ac:dyDescent="0.25">
      <c r="B21" s="131" t="s">
        <v>28</v>
      </c>
      <c r="C21" s="138"/>
      <c r="D21" s="144"/>
      <c r="E21" s="210" t="s">
        <v>22</v>
      </c>
      <c r="F21" s="211">
        <f>IFERROR(((M12/1000*N12/1000))*(F24),"-")</f>
        <v>0.32779133858267717</v>
      </c>
      <c r="G21" s="211">
        <f>IFERROR(((M12/1000*N12/1000))*(F24),"-")</f>
        <v>0.32779133858267717</v>
      </c>
      <c r="I21" s="143" t="s">
        <v>4</v>
      </c>
      <c r="J21" s="196" t="s">
        <v>5</v>
      </c>
      <c r="K21" s="197" t="s">
        <v>3</v>
      </c>
      <c r="L21" s="143"/>
      <c r="M21" s="143"/>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row>
    <row r="22" spans="1:42" ht="15" customHeight="1" thickBot="1" x14ac:dyDescent="0.3">
      <c r="B22" s="130" t="s">
        <v>71</v>
      </c>
      <c r="C22" s="209">
        <v>93.45</v>
      </c>
      <c r="D22" s="144"/>
      <c r="E22" s="215" t="s">
        <v>23</v>
      </c>
      <c r="F22" s="216">
        <f>IFERROR(F20+F21,"-")</f>
        <v>0.43195349923330217</v>
      </c>
      <c r="G22" s="216">
        <f>IFERROR(G20+G21,"-")</f>
        <v>0.50613211658267709</v>
      </c>
      <c r="I22" s="206">
        <v>2</v>
      </c>
      <c r="J22" s="207" t="str">
        <f>VLOOKUP($I22,'Back-End'!$D$85:$F$90,2,FALSE)</f>
        <v>Universal Bond (Standard)</v>
      </c>
      <c r="K22" s="208">
        <f>VLOOKUP($I22,'Back-End'!$D$85:$F$90,3,FALSE)</f>
        <v>2</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row>
    <row r="23" spans="1:42" ht="15" customHeight="1" x14ac:dyDescent="0.25">
      <c r="B23" s="130" t="s">
        <v>197</v>
      </c>
      <c r="C23" s="209">
        <v>300</v>
      </c>
      <c r="D23" s="144"/>
      <c r="E23" s="210" t="s">
        <v>113</v>
      </c>
      <c r="F23" s="212">
        <f>IFERROR(F20/((M12/1000*N12/1000)),"-")</f>
        <v>0.20851031249999999</v>
      </c>
      <c r="G23" s="212">
        <f>IFERROR(G20/((M12/1000*N12/1000)),"-")</f>
        <v>0.35699999999999998</v>
      </c>
      <c r="L23" s="146"/>
      <c r="M23" s="146"/>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row>
    <row r="24" spans="1:42" s="146" customFormat="1" ht="15" customHeight="1" thickBot="1" x14ac:dyDescent="0.3">
      <c r="B24" s="131" t="s">
        <v>200</v>
      </c>
      <c r="C24" s="132"/>
      <c r="D24" s="139"/>
      <c r="E24" s="213" t="s">
        <v>114</v>
      </c>
      <c r="F24" s="211">
        <f>IFERROR(C20/((M15*M9/1000)),"-")</f>
        <v>0.65616797900262469</v>
      </c>
      <c r="G24" s="211">
        <f>IFERROR(C20/((M15*M9/1000)),"-")</f>
        <v>0.65616797900262469</v>
      </c>
      <c r="H24" s="144"/>
      <c r="I24" s="143"/>
      <c r="J24" s="195" t="s">
        <v>25</v>
      </c>
      <c r="K24" s="195"/>
      <c r="L24" s="143"/>
      <c r="M24" s="143"/>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row>
    <row r="25" spans="1:42" ht="15" customHeight="1" x14ac:dyDescent="0.25">
      <c r="D25" s="144"/>
      <c r="E25" s="215" t="s">
        <v>115</v>
      </c>
      <c r="F25" s="217">
        <f>IFERROR(F23+F24,"-")</f>
        <v>0.86467829150262465</v>
      </c>
      <c r="G25" s="217">
        <f>IFERROR(G23+G24,"-")</f>
        <v>1.0131679790026247</v>
      </c>
      <c r="H25" s="144"/>
      <c r="I25" s="143" t="s">
        <v>7</v>
      </c>
      <c r="J25" s="196" t="s">
        <v>13</v>
      </c>
      <c r="K25" s="197" t="s">
        <v>14</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row>
    <row r="26" spans="1:42" ht="15" customHeight="1" thickBot="1" x14ac:dyDescent="0.3">
      <c r="B26" s="140" t="s">
        <v>180</v>
      </c>
      <c r="C26" s="141" t="s">
        <v>181</v>
      </c>
      <c r="D26" s="144"/>
      <c r="E26" s="210" t="s">
        <v>199</v>
      </c>
      <c r="F26" s="214">
        <f>IFERROR((130*5)/(K26)/(M12/1000*N12/1000),"-")</f>
        <v>3644.7076618674391</v>
      </c>
      <c r="G26" s="214">
        <f>IFERROR((300*5)/(K26)/(M12/1000*N12/1000),"-")</f>
        <v>8410.863835078706</v>
      </c>
      <c r="H26" s="144"/>
      <c r="I26" s="206">
        <f>K19+K22</f>
        <v>12</v>
      </c>
      <c r="J26" s="207" t="str">
        <f>VLOOKUP($I26,'Back-End'!$H$85:$K$100,2,FALSE)</f>
        <v>Mono CAD File- Univ. Bond (Std)</v>
      </c>
      <c r="K26" s="208">
        <f>VLOOKUP($I26,'Back-End'!$H$85:$K$100,3,FALSE)</f>
        <v>0.35699999999999998</v>
      </c>
      <c r="L26" s="146"/>
      <c r="M26" s="146"/>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row>
    <row r="27" spans="1:42" ht="23.25" x14ac:dyDescent="0.25">
      <c r="B27" s="142">
        <f>IFERROR(M12,"-")</f>
        <v>594</v>
      </c>
      <c r="C27" s="142">
        <f>IFERROR(N12,"-")</f>
        <v>841</v>
      </c>
      <c r="D27" s="144"/>
      <c r="E27" s="144"/>
      <c r="F27" s="144"/>
      <c r="G27" s="144"/>
      <c r="H27" s="144"/>
      <c r="I27" s="144"/>
      <c r="J27" s="144"/>
      <c r="K27" s="144"/>
      <c r="L27" s="144"/>
      <c r="M27" s="144"/>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row>
    <row r="28" spans="1:42" ht="23.25" x14ac:dyDescent="0.25">
      <c r="E28" s="144"/>
      <c r="F28" s="144"/>
      <c r="G28" s="144"/>
      <c r="H28" s="144"/>
      <c r="I28" s="144"/>
      <c r="J28" s="144"/>
      <c r="K28" s="144"/>
      <c r="L28" s="144"/>
      <c r="M28" s="144"/>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row>
    <row r="29" spans="1:42" ht="15.75" customHeight="1" x14ac:dyDescent="0.25">
      <c r="C29" s="240"/>
      <c r="D29" s="240"/>
      <c r="E29" s="240"/>
      <c r="F29" s="240"/>
      <c r="G29" s="145"/>
      <c r="H29" s="145"/>
      <c r="I29" s="145"/>
      <c r="J29" s="145"/>
      <c r="K29" s="145"/>
      <c r="L29" s="145"/>
      <c r="M29" s="145"/>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row>
    <row r="30" spans="1:42" ht="10.5" customHeight="1" x14ac:dyDescent="0.25">
      <c r="C30" s="240"/>
      <c r="D30" s="240"/>
      <c r="E30" s="240"/>
      <c r="F30" s="240"/>
      <c r="G30" s="173"/>
      <c r="H30" s="173"/>
      <c r="I30" s="173"/>
      <c r="J30" s="173"/>
      <c r="K30" s="173"/>
      <c r="L30" s="173"/>
      <c r="M30" s="173"/>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row>
    <row r="31" spans="1:42" ht="23.25" x14ac:dyDescent="0.25">
      <c r="A31" s="148"/>
      <c r="B31" s="148"/>
      <c r="C31" s="148"/>
      <c r="D31" s="148"/>
      <c r="E31" s="172"/>
      <c r="F31" s="172"/>
      <c r="G31" s="172"/>
      <c r="H31" s="172"/>
      <c r="I31" s="172"/>
      <c r="J31" s="172"/>
      <c r="K31" s="172"/>
      <c r="L31" s="172"/>
      <c r="M31" s="172"/>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row>
    <row r="32" spans="1:42" ht="23.25" x14ac:dyDescent="0.25">
      <c r="A32" s="148"/>
      <c r="B32" s="148"/>
      <c r="C32" s="148"/>
      <c r="D32" s="148"/>
      <c r="E32" s="172"/>
      <c r="F32" s="172"/>
      <c r="G32" s="172"/>
      <c r="H32" s="172"/>
      <c r="I32" s="172"/>
      <c r="J32" s="172"/>
      <c r="K32" s="172"/>
      <c r="L32" s="172"/>
      <c r="M32" s="172"/>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row>
    <row r="33" spans="1:42" ht="23.25" x14ac:dyDescent="0.25">
      <c r="A33" s="148"/>
      <c r="B33" s="148"/>
      <c r="C33" s="148"/>
      <c r="D33" s="148"/>
      <c r="E33" s="172"/>
      <c r="F33" s="172"/>
      <c r="G33" s="172"/>
      <c r="H33" s="172"/>
      <c r="I33" s="172"/>
      <c r="J33" s="172"/>
      <c r="K33" s="172"/>
      <c r="L33" s="172"/>
      <c r="M33" s="172"/>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row>
    <row r="34" spans="1:42" ht="23.25" x14ac:dyDescent="0.25">
      <c r="A34" s="148"/>
      <c r="B34" s="148"/>
      <c r="C34" s="148"/>
      <c r="D34" s="148"/>
      <c r="E34" s="172"/>
      <c r="F34" s="172"/>
      <c r="G34" s="172"/>
      <c r="H34" s="172"/>
      <c r="I34" s="172"/>
      <c r="J34" s="172"/>
      <c r="K34" s="172"/>
      <c r="L34" s="172"/>
      <c r="M34" s="172"/>
      <c r="N34" s="148"/>
      <c r="O34" s="148"/>
      <c r="P34" s="148"/>
      <c r="Q34" s="148"/>
      <c r="R34" s="148"/>
      <c r="S34" s="148"/>
      <c r="T34" s="148"/>
      <c r="U34" s="148"/>
      <c r="V34" s="148"/>
      <c r="W34" s="148"/>
      <c r="X34" s="148"/>
      <c r="Y34" s="148"/>
      <c r="Z34" s="148"/>
      <c r="AA34" s="148"/>
      <c r="AB34" s="148"/>
    </row>
    <row r="35" spans="1:42" ht="23.25" x14ac:dyDescent="0.25">
      <c r="A35" s="148"/>
      <c r="B35" s="148"/>
      <c r="C35" s="148"/>
      <c r="D35" s="148"/>
      <c r="E35" s="172"/>
      <c r="F35" s="172"/>
      <c r="G35" s="172"/>
      <c r="H35" s="172"/>
      <c r="I35" s="172"/>
      <c r="J35" s="172"/>
      <c r="K35" s="172"/>
      <c r="L35" s="172"/>
      <c r="M35" s="172"/>
      <c r="N35" s="148"/>
      <c r="O35" s="148"/>
      <c r="P35" s="148"/>
      <c r="Q35" s="148"/>
      <c r="R35" s="148"/>
      <c r="S35" s="148"/>
      <c r="T35" s="148"/>
      <c r="U35" s="148"/>
      <c r="V35" s="148"/>
      <c r="W35" s="148"/>
      <c r="X35" s="148"/>
      <c r="Y35" s="148"/>
      <c r="Z35" s="148"/>
      <c r="AA35" s="148"/>
      <c r="AB35" s="148"/>
    </row>
    <row r="36" spans="1:42" ht="23.25" x14ac:dyDescent="0.25">
      <c r="A36" s="148"/>
      <c r="B36" s="148"/>
      <c r="C36" s="148"/>
      <c r="D36" s="148"/>
      <c r="E36" s="174"/>
      <c r="F36" s="174"/>
      <c r="G36" s="174"/>
      <c r="H36" s="174"/>
      <c r="I36" s="174"/>
      <c r="J36" s="174"/>
      <c r="K36" s="174"/>
      <c r="L36" s="174"/>
      <c r="M36" s="174"/>
      <c r="N36" s="148"/>
      <c r="O36" s="148"/>
      <c r="P36" s="148"/>
      <c r="Q36" s="148"/>
      <c r="R36" s="148"/>
      <c r="S36" s="148"/>
      <c r="T36" s="148"/>
      <c r="U36" s="148"/>
      <c r="V36" s="148"/>
      <c r="W36" s="148"/>
      <c r="X36" s="148"/>
      <c r="Y36" s="148"/>
      <c r="Z36" s="148"/>
      <c r="AA36" s="148"/>
      <c r="AB36" s="148"/>
    </row>
    <row r="37" spans="1:42" x14ac:dyDescent="0.25">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row>
    <row r="38" spans="1:42" x14ac:dyDescent="0.2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row>
    <row r="39" spans="1:42" x14ac:dyDescent="0.25">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row>
    <row r="40" spans="1:42" x14ac:dyDescent="0.25">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row>
    <row r="41" spans="1:42" x14ac:dyDescent="0.25">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row>
    <row r="42" spans="1:42" x14ac:dyDescent="0.2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48"/>
      <c r="AA42" s="148"/>
    </row>
    <row r="43" spans="1:42" x14ac:dyDescent="0.2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row>
    <row r="44" spans="1:42" x14ac:dyDescent="0.2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row>
    <row r="45" spans="1:42" x14ac:dyDescent="0.2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row>
    <row r="46" spans="1:42" x14ac:dyDescent="0.2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row>
    <row r="47" spans="1:42" x14ac:dyDescent="0.2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row>
    <row r="48" spans="1:42" x14ac:dyDescent="0.2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row>
    <row r="49" spans="1:25" x14ac:dyDescent="0.2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row>
    <row r="50" spans="1:25" x14ac:dyDescent="0.2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row>
    <row r="51" spans="1:25" x14ac:dyDescent="0.25">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row>
    <row r="52" spans="1:25" x14ac:dyDescent="0.25">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row>
    <row r="53" spans="1:25" x14ac:dyDescent="0.25">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row>
    <row r="54" spans="1:25" x14ac:dyDescent="0.25">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row>
    <row r="55" spans="1:25" x14ac:dyDescent="0.25">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row>
    <row r="56" spans="1:25" x14ac:dyDescent="0.25">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row>
    <row r="57" spans="1:25" x14ac:dyDescent="0.2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row>
    <row r="58" spans="1:25" x14ac:dyDescent="0.25">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row>
  </sheetData>
  <sheetProtection algorithmName="SHA-512" hashValue="cwu3S9uETrPKRcK87fQhWZvVGpoYNsIxuYOSre1VPTuL4WxFhKywAiJio9mcDd2Eb5m5vTh3CQfe/HjlFTK0PQ==" saltValue="v0PcSeVcSumNI0FnoaFppg==" spinCount="100000" sheet="1" objects="1" selectLockedCells="1"/>
  <mergeCells count="3">
    <mergeCell ref="A1:E2"/>
    <mergeCell ref="A3:E3"/>
    <mergeCell ref="C29:F30"/>
  </mergeCells>
  <phoneticPr fontId="5" type="noConversion"/>
  <pageMargins left="0.74803149606299213" right="0.74803149606299213" top="0.98425196850393704" bottom="0.98425196850393704" header="0.51181102362204722" footer="0.51181102362204722"/>
  <pageSetup paperSize="9" scale="95"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17420" r:id="rId5" name="Drop Down 12">
              <controlPr locked="0" defaultSize="0" autoLine="0" autoPict="0">
                <anchor moveWithCells="1">
                  <from>
                    <xdr:col>1</xdr:col>
                    <xdr:colOff>1676400</xdr:colOff>
                    <xdr:row>16</xdr:row>
                    <xdr:rowOff>180975</xdr:rowOff>
                  </from>
                  <to>
                    <xdr:col>3</xdr:col>
                    <xdr:colOff>9525</xdr:colOff>
                    <xdr:row>18</xdr:row>
                    <xdr:rowOff>0</xdr:rowOff>
                  </to>
                </anchor>
              </controlPr>
            </control>
          </mc:Choice>
        </mc:AlternateContent>
        <mc:AlternateContent xmlns:mc="http://schemas.openxmlformats.org/markup-compatibility/2006">
          <mc:Choice Requires="x14">
            <control shapeId="17421" r:id="rId6" name="Drop Down 13">
              <controlPr locked="0" defaultSize="0" autoLine="0" autoPict="0">
                <anchor moveWithCells="1">
                  <from>
                    <xdr:col>1</xdr:col>
                    <xdr:colOff>1676400</xdr:colOff>
                    <xdr:row>17</xdr:row>
                    <xdr:rowOff>180975</xdr:rowOff>
                  </from>
                  <to>
                    <xdr:col>3</xdr:col>
                    <xdr:colOff>9525</xdr:colOff>
                    <xdr:row>19</xdr:row>
                    <xdr:rowOff>0</xdr:rowOff>
                  </to>
                </anchor>
              </controlPr>
            </control>
          </mc:Choice>
        </mc:AlternateContent>
        <mc:AlternateContent xmlns:mc="http://schemas.openxmlformats.org/markup-compatibility/2006">
          <mc:Choice Requires="x14">
            <control shapeId="17432" r:id="rId7" name="Drop Down 24">
              <controlPr locked="0" defaultSize="0" autoLine="0" autoPict="0">
                <anchor moveWithCells="1">
                  <from>
                    <xdr:col>2</xdr:col>
                    <xdr:colOff>0</xdr:colOff>
                    <xdr:row>13</xdr:row>
                    <xdr:rowOff>180975</xdr:rowOff>
                  </from>
                  <to>
                    <xdr:col>3</xdr:col>
                    <xdr:colOff>533400</xdr:colOff>
                    <xdr:row>15</xdr:row>
                    <xdr:rowOff>0</xdr:rowOff>
                  </to>
                </anchor>
              </controlPr>
            </control>
          </mc:Choice>
        </mc:AlternateContent>
        <mc:AlternateContent xmlns:mc="http://schemas.openxmlformats.org/markup-compatibility/2006">
          <mc:Choice Requires="x14">
            <control shapeId="17445" r:id="rId8" name="Drop Down 37">
              <controlPr locked="0" defaultSize="0" autoLine="0" autoPict="0">
                <anchor moveWithCells="1">
                  <from>
                    <xdr:col>2</xdr:col>
                    <xdr:colOff>0</xdr:colOff>
                    <xdr:row>14</xdr:row>
                    <xdr:rowOff>180975</xdr:rowOff>
                  </from>
                  <to>
                    <xdr:col>3</xdr:col>
                    <xdr:colOff>533400</xdr:colOff>
                    <xdr:row>16</xdr:row>
                    <xdr:rowOff>0</xdr:rowOff>
                  </to>
                </anchor>
              </controlPr>
            </control>
          </mc:Choice>
        </mc:AlternateContent>
        <mc:AlternateContent xmlns:mc="http://schemas.openxmlformats.org/markup-compatibility/2006">
          <mc:Choice Requires="x14">
            <control shapeId="18275" r:id="rId9" name="Drop Down 867">
              <controlPr defaultSize="0" autoLine="0" autoPict="0">
                <anchor moveWithCells="1">
                  <from>
                    <xdr:col>1</xdr:col>
                    <xdr:colOff>0</xdr:colOff>
                    <xdr:row>23</xdr:row>
                    <xdr:rowOff>161925</xdr:rowOff>
                  </from>
                  <to>
                    <xdr:col>1</xdr:col>
                    <xdr:colOff>1676400</xdr:colOff>
                    <xdr:row>24</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iPF PRO- 12 Colour</vt:lpstr>
      <vt:lpstr>iPF PRO- 8 Colour</vt:lpstr>
      <vt:lpstr>GP200 &amp; GP300</vt:lpstr>
      <vt:lpstr>iPF6400S</vt:lpstr>
      <vt:lpstr>iPF8400SE</vt:lpstr>
      <vt:lpstr>iPF6400SE</vt:lpstr>
      <vt:lpstr>TX-Series</vt:lpstr>
      <vt:lpstr>TMx50-Series</vt:lpstr>
      <vt:lpstr>iPF510-610</vt:lpstr>
      <vt:lpstr>TMx40-series</vt:lpstr>
      <vt:lpstr>Back-End</vt:lpstr>
      <vt:lpstr>'GP200 &amp; GP300'!Print_Area</vt:lpstr>
      <vt:lpstr>Instructions!Print_Area</vt:lpstr>
      <vt:lpstr>'iPF PRO- 12 Colour'!Print_Area</vt:lpstr>
      <vt:lpstr>'iPF PRO- 8 Colour'!Print_Area</vt:lpstr>
      <vt:lpstr>'iPF510-610'!Print_Area</vt:lpstr>
      <vt:lpstr>iPF6400S!Print_Area</vt:lpstr>
      <vt:lpstr>iPF6400SE!Print_Area</vt:lpstr>
      <vt:lpstr>iPF8400SE!Print_Area</vt:lpstr>
      <vt:lpstr>'TMx40-series'!Print_Area</vt:lpstr>
      <vt:lpstr>'TMx50-Series'!Print_Area</vt:lpstr>
      <vt:lpstr>'TX-Series'!Print_Area</vt:lpstr>
    </vt:vector>
  </TitlesOfParts>
  <Company>Canon USA,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Canon</dc:creator>
  <cp:lastModifiedBy>Vishal Gohel</cp:lastModifiedBy>
  <cp:lastPrinted>2014-01-09T03:52:15Z</cp:lastPrinted>
  <dcterms:created xsi:type="dcterms:W3CDTF">2009-07-22T15:17:56Z</dcterms:created>
  <dcterms:modified xsi:type="dcterms:W3CDTF">2024-01-15T02:12:04Z</dcterms:modified>
</cp:coreProperties>
</file>